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C668" lockStructure="1"/>
  <bookViews>
    <workbookView xWindow="240" yWindow="885" windowWidth="14805" windowHeight="7230" tabRatio="573" firstSheet="1" activeTab="1"/>
  </bookViews>
  <sheets>
    <sheet name="Форма плитн мат МТУ" sheetId="12" state="hidden" r:id="rId1"/>
    <sheet name="Фасады Клеаф" sheetId="7" r:id="rId2"/>
    <sheet name="Бланк" sheetId="2" state="hidden" r:id="rId3"/>
    <sheet name="kopir" sheetId="4" state="hidden" r:id="rId4"/>
    <sheet name="Спецификация" sheetId="6" state="hidden" r:id="rId5"/>
    <sheet name="Исх дан мат и усл" sheetId="10" state="hidden" r:id="rId6"/>
  </sheets>
  <definedNames>
    <definedName name="_xlnm._FilterDatabase" localSheetId="2" hidden="1">Бланк!$Q$2:$AM$2</definedName>
    <definedName name="_xlnm._FilterDatabase" localSheetId="1" hidden="1">'Фасады Клеаф'!$B$9:$L$47</definedName>
    <definedName name="_xlnm._FilterDatabase" localSheetId="0" hidden="1">'Форма плитн мат МТУ'!$A$17:$P$112</definedName>
    <definedName name="Группа">'Фасады Клеаф'!#REF!</definedName>
    <definedName name="декор">'Фасады Клеаф'!#REF!</definedName>
    <definedName name="Декоры">'Фасады Клеаф'!#REF!</definedName>
    <definedName name="Категория">'Фасады Клеаф'!#REF!</definedName>
    <definedName name="Материал">'Фасады Клеаф'!#REF!</definedName>
    <definedName name="Тип">'Фасады Клеаф'!#REF!</definedName>
    <definedName name="Типфиленка">'Фасады Клеаф'!#REF!</definedName>
    <definedName name="Типфиленки">'Фасады Клеаф'!#REF!</definedName>
    <definedName name="филенка">'Фасады Клеаф'!#REF!</definedName>
  </definedNames>
  <calcPr calcId="145621"/>
</workbook>
</file>

<file path=xl/calcChain.xml><?xml version="1.0" encoding="utf-8"?>
<calcChain xmlns="http://schemas.openxmlformats.org/spreadsheetml/2006/main">
  <c r="D21" i="10" l="1"/>
  <c r="C13" i="12" l="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3" i="4"/>
  <c r="A107" i="12" l="1"/>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L107" i="12"/>
  <c r="G106" i="12"/>
  <c r="L105" i="12"/>
  <c r="G105" i="12"/>
  <c r="L104" i="12"/>
  <c r="G103" i="12"/>
  <c r="G102" i="12"/>
  <c r="L101" i="12"/>
  <c r="G100" i="12"/>
  <c r="G99" i="12"/>
  <c r="L98" i="12"/>
  <c r="G97" i="12"/>
  <c r="G96" i="12"/>
  <c r="L95" i="12"/>
  <c r="G94" i="12"/>
  <c r="G93" i="12"/>
  <c r="L92" i="12"/>
  <c r="G91" i="12"/>
  <c r="G90" i="12"/>
  <c r="L89" i="12"/>
  <c r="G88" i="12"/>
  <c r="G87" i="12"/>
  <c r="L86" i="12"/>
  <c r="G85" i="12"/>
  <c r="G84" i="12"/>
  <c r="L83" i="12"/>
  <c r="G82" i="12"/>
  <c r="G81" i="12"/>
  <c r="L80" i="12"/>
  <c r="G79" i="12"/>
  <c r="G78" i="12"/>
  <c r="L77" i="12"/>
  <c r="G76" i="12"/>
  <c r="G75" i="12"/>
  <c r="L74" i="12"/>
  <c r="G73" i="12"/>
  <c r="G72" i="12"/>
  <c r="L71" i="12"/>
  <c r="G70" i="12"/>
  <c r="G69" i="12"/>
  <c r="L68" i="12"/>
  <c r="G67" i="12"/>
  <c r="G66" i="12"/>
  <c r="L65" i="12"/>
  <c r="G64" i="12"/>
  <c r="G63" i="12"/>
  <c r="L62" i="12"/>
  <c r="G61" i="12"/>
  <c r="G60" i="12"/>
  <c r="L59" i="12"/>
  <c r="G58" i="12"/>
  <c r="G57" i="12"/>
  <c r="L56" i="12"/>
  <c r="G55" i="12"/>
  <c r="G54" i="12"/>
  <c r="L53" i="12"/>
  <c r="G52" i="12"/>
  <c r="G51" i="12"/>
  <c r="L50" i="12"/>
  <c r="G49" i="12"/>
  <c r="G48" i="12"/>
  <c r="L47" i="12"/>
  <c r="G46" i="12"/>
  <c r="G45" i="12"/>
  <c r="L44" i="12"/>
  <c r="G43" i="12"/>
  <c r="G42" i="12"/>
  <c r="L41" i="12"/>
  <c r="G40" i="12"/>
  <c r="G39" i="12"/>
  <c r="L38" i="12"/>
  <c r="G37" i="12"/>
  <c r="G36" i="12"/>
  <c r="L35" i="12"/>
  <c r="G34" i="12"/>
  <c r="G33" i="12"/>
  <c r="L32" i="12"/>
  <c r="G31" i="12"/>
  <c r="G30" i="12"/>
  <c r="L29" i="12"/>
  <c r="G28" i="12"/>
  <c r="G27" i="12"/>
  <c r="L26" i="12"/>
  <c r="G25" i="12"/>
  <c r="G24" i="12"/>
  <c r="L23" i="12"/>
  <c r="G22" i="12"/>
  <c r="G21" i="12"/>
  <c r="L20" i="12"/>
  <c r="G19" i="12"/>
  <c r="G18" i="12"/>
  <c r="M2" i="4"/>
  <c r="M1" i="4"/>
  <c r="A39" i="7" l="1"/>
  <c r="A38" i="7"/>
  <c r="A37" i="7"/>
  <c r="I37" i="7" s="1"/>
  <c r="A36" i="7"/>
  <c r="I36" i="7" s="1"/>
  <c r="A35" i="7"/>
  <c r="I35" i="7" s="1"/>
  <c r="A34" i="7"/>
  <c r="I34" i="7" s="1"/>
  <c r="A33" i="7"/>
  <c r="I33" i="7" s="1"/>
  <c r="A32" i="7"/>
  <c r="I32" i="7" s="1"/>
  <c r="A31" i="7"/>
  <c r="I31" i="7" s="1"/>
  <c r="A30" i="7"/>
  <c r="I30" i="7" s="1"/>
  <c r="A29" i="7"/>
  <c r="I29" i="7" s="1"/>
  <c r="A28" i="7"/>
  <c r="I28" i="7" s="1"/>
  <c r="A27" i="7"/>
  <c r="I27" i="7" s="1"/>
  <c r="A26" i="7"/>
  <c r="I26" i="7" s="1"/>
  <c r="A25" i="7"/>
  <c r="I25" i="7" s="1"/>
  <c r="A24" i="7"/>
  <c r="I24" i="7" s="1"/>
  <c r="A23" i="7"/>
  <c r="I23" i="7" s="1"/>
  <c r="A22" i="7"/>
  <c r="I22" i="7" s="1"/>
  <c r="A21" i="7"/>
  <c r="I21" i="7" s="1"/>
  <c r="A20" i="7"/>
  <c r="I20" i="7" s="1"/>
  <c r="A19" i="7"/>
  <c r="I19" i="7" s="1"/>
  <c r="A18" i="7"/>
  <c r="I18" i="7" s="1"/>
  <c r="A17" i="7"/>
  <c r="I17" i="7" s="1"/>
  <c r="A16" i="7"/>
  <c r="I16" i="7" s="1"/>
  <c r="A15" i="7"/>
  <c r="I15" i="7" s="1"/>
  <c r="A14" i="7"/>
  <c r="I14" i="7" s="1"/>
  <c r="A13" i="7"/>
  <c r="I13" i="7" s="1"/>
  <c r="A12" i="7"/>
  <c r="I12" i="7" s="1"/>
  <c r="A11" i="7"/>
  <c r="I11" i="7" s="1"/>
  <c r="A10" i="7"/>
  <c r="I10" i="7" s="1"/>
  <c r="C3" i="12" l="1"/>
  <c r="E14" i="2" l="1"/>
  <c r="C14" i="12"/>
  <c r="AH39" i="7" l="1"/>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I31" i="10"/>
  <c r="C89" i="7"/>
  <c r="D89" i="7" s="1"/>
  <c r="C88" i="7"/>
  <c r="C87" i="7"/>
  <c r="D87" i="7" s="1"/>
  <c r="C86" i="7"/>
  <c r="C85" i="7"/>
  <c r="D85" i="7" s="1"/>
  <c r="C84" i="7"/>
  <c r="C83" i="7"/>
  <c r="D83" i="7" s="1"/>
  <c r="C82" i="7"/>
  <c r="C81" i="7"/>
  <c r="D81" i="7" s="1"/>
  <c r="C80" i="7"/>
  <c r="C79" i="7"/>
  <c r="D79" i="7" s="1"/>
  <c r="C78" i="7"/>
  <c r="C77" i="7"/>
  <c r="D77" i="7" s="1"/>
  <c r="C76" i="7"/>
  <c r="C75" i="7"/>
  <c r="D75" i="7" s="1"/>
  <c r="C74" i="7"/>
  <c r="C73" i="7"/>
  <c r="D73" i="7" s="1"/>
  <c r="C72" i="7"/>
  <c r="C71" i="7"/>
  <c r="D71" i="7" s="1"/>
  <c r="C70" i="7"/>
  <c r="C69" i="7"/>
  <c r="D69" i="7" s="1"/>
  <c r="C68" i="7"/>
  <c r="C67" i="7"/>
  <c r="D67" i="7" s="1"/>
  <c r="C66" i="7"/>
  <c r="C65" i="7"/>
  <c r="F65" i="7" s="1"/>
  <c r="C64" i="7"/>
  <c r="C63" i="7"/>
  <c r="F63" i="7" s="1"/>
  <c r="C62" i="7"/>
  <c r="C61" i="7"/>
  <c r="F61" i="7" s="1"/>
  <c r="C60" i="7"/>
  <c r="C59" i="7"/>
  <c r="F59" i="7" s="1"/>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AH41" i="7" l="1"/>
  <c r="AF41" i="7"/>
  <c r="K60" i="7"/>
  <c r="I60" i="7"/>
  <c r="J60" i="7"/>
  <c r="H60" i="7"/>
  <c r="K62" i="7"/>
  <c r="I62" i="7"/>
  <c r="J62" i="7"/>
  <c r="H62" i="7"/>
  <c r="K64" i="7"/>
  <c r="I64" i="7"/>
  <c r="J64" i="7"/>
  <c r="H64" i="7"/>
  <c r="K66" i="7"/>
  <c r="I66" i="7"/>
  <c r="J66" i="7"/>
  <c r="H66" i="7"/>
  <c r="K68" i="7"/>
  <c r="I68" i="7"/>
  <c r="G68" i="7"/>
  <c r="J68" i="7"/>
  <c r="H68" i="7"/>
  <c r="F68" i="7"/>
  <c r="K70" i="7"/>
  <c r="I70" i="7"/>
  <c r="G70" i="7"/>
  <c r="J70" i="7"/>
  <c r="H70" i="7"/>
  <c r="F70" i="7"/>
  <c r="K72" i="7"/>
  <c r="I72" i="7"/>
  <c r="G72" i="7"/>
  <c r="J72" i="7"/>
  <c r="H72" i="7"/>
  <c r="F72" i="7"/>
  <c r="K74" i="7"/>
  <c r="I74" i="7"/>
  <c r="G74" i="7"/>
  <c r="J74" i="7"/>
  <c r="H74" i="7"/>
  <c r="F74" i="7"/>
  <c r="K76" i="7"/>
  <c r="I76" i="7"/>
  <c r="G76" i="7"/>
  <c r="J76" i="7"/>
  <c r="H76" i="7"/>
  <c r="F76" i="7"/>
  <c r="K78" i="7"/>
  <c r="I78" i="7"/>
  <c r="G78" i="7"/>
  <c r="J78" i="7"/>
  <c r="H78" i="7"/>
  <c r="F78" i="7"/>
  <c r="K80" i="7"/>
  <c r="I80" i="7"/>
  <c r="G80" i="7"/>
  <c r="J80" i="7"/>
  <c r="H80" i="7"/>
  <c r="F80" i="7"/>
  <c r="K82" i="7"/>
  <c r="I82" i="7"/>
  <c r="G82" i="7"/>
  <c r="J82" i="7"/>
  <c r="H82" i="7"/>
  <c r="F82" i="7"/>
  <c r="K84" i="7"/>
  <c r="I84" i="7"/>
  <c r="G84" i="7"/>
  <c r="J84" i="7"/>
  <c r="H84" i="7"/>
  <c r="F84" i="7"/>
  <c r="K86" i="7"/>
  <c r="I86" i="7"/>
  <c r="G86" i="7"/>
  <c r="J86" i="7"/>
  <c r="H86" i="7"/>
  <c r="F86" i="7"/>
  <c r="K88" i="7"/>
  <c r="I88" i="7"/>
  <c r="G88" i="7"/>
  <c r="J88" i="7"/>
  <c r="H88" i="7"/>
  <c r="F88" i="7"/>
  <c r="D59" i="7"/>
  <c r="D61" i="7"/>
  <c r="D63" i="7"/>
  <c r="D65" i="7"/>
  <c r="E60" i="7"/>
  <c r="E62" i="7"/>
  <c r="E64" i="7"/>
  <c r="E66" i="7"/>
  <c r="E68" i="7"/>
  <c r="E70" i="7"/>
  <c r="E72" i="7"/>
  <c r="E74" i="7"/>
  <c r="E76" i="7"/>
  <c r="E78" i="7"/>
  <c r="E80" i="7"/>
  <c r="E82" i="7"/>
  <c r="E84" i="7"/>
  <c r="E86" i="7"/>
  <c r="E88" i="7"/>
  <c r="F60" i="7"/>
  <c r="F62" i="7"/>
  <c r="F64" i="7"/>
  <c r="F66" i="7"/>
  <c r="K59" i="7"/>
  <c r="I59" i="7"/>
  <c r="J59" i="7"/>
  <c r="H59" i="7"/>
  <c r="K61" i="7"/>
  <c r="I61" i="7"/>
  <c r="J61" i="7"/>
  <c r="H61" i="7"/>
  <c r="K63" i="7"/>
  <c r="I63" i="7"/>
  <c r="J63" i="7"/>
  <c r="H63" i="7"/>
  <c r="K65" i="7"/>
  <c r="I65" i="7"/>
  <c r="J65" i="7"/>
  <c r="H65" i="7"/>
  <c r="K67" i="7"/>
  <c r="I67" i="7"/>
  <c r="G67" i="7"/>
  <c r="J67" i="7"/>
  <c r="H67" i="7"/>
  <c r="F67" i="7"/>
  <c r="K69" i="7"/>
  <c r="I69" i="7"/>
  <c r="G69" i="7"/>
  <c r="J69" i="7"/>
  <c r="H69" i="7"/>
  <c r="F69" i="7"/>
  <c r="K71" i="7"/>
  <c r="I71" i="7"/>
  <c r="G71" i="7"/>
  <c r="J71" i="7"/>
  <c r="H71" i="7"/>
  <c r="F71" i="7"/>
  <c r="K73" i="7"/>
  <c r="I73" i="7"/>
  <c r="G73" i="7"/>
  <c r="J73" i="7"/>
  <c r="H73" i="7"/>
  <c r="F73" i="7"/>
  <c r="K75" i="7"/>
  <c r="I75" i="7"/>
  <c r="G75" i="7"/>
  <c r="J75" i="7"/>
  <c r="H75" i="7"/>
  <c r="F75" i="7"/>
  <c r="K77" i="7"/>
  <c r="I77" i="7"/>
  <c r="G77" i="7"/>
  <c r="J77" i="7"/>
  <c r="H77" i="7"/>
  <c r="F77" i="7"/>
  <c r="K79" i="7"/>
  <c r="I79" i="7"/>
  <c r="G79" i="7"/>
  <c r="J79" i="7"/>
  <c r="H79" i="7"/>
  <c r="F79" i="7"/>
  <c r="K81" i="7"/>
  <c r="I81" i="7"/>
  <c r="G81" i="7"/>
  <c r="J81" i="7"/>
  <c r="H81" i="7"/>
  <c r="F81" i="7"/>
  <c r="K83" i="7"/>
  <c r="I83" i="7"/>
  <c r="G83" i="7"/>
  <c r="J83" i="7"/>
  <c r="H83" i="7"/>
  <c r="F83" i="7"/>
  <c r="K85" i="7"/>
  <c r="I85" i="7"/>
  <c r="G85" i="7"/>
  <c r="J85" i="7"/>
  <c r="H85" i="7"/>
  <c r="F85" i="7"/>
  <c r="K87" i="7"/>
  <c r="I87" i="7"/>
  <c r="G87" i="7"/>
  <c r="J87" i="7"/>
  <c r="H87" i="7"/>
  <c r="F87" i="7"/>
  <c r="K89" i="7"/>
  <c r="I89" i="7"/>
  <c r="G89" i="7"/>
  <c r="J89" i="7"/>
  <c r="H89" i="7"/>
  <c r="F89" i="7"/>
  <c r="D60" i="7"/>
  <c r="D62" i="7"/>
  <c r="D64" i="7"/>
  <c r="D66" i="7"/>
  <c r="D68" i="7"/>
  <c r="D70" i="7"/>
  <c r="D72" i="7"/>
  <c r="D74" i="7"/>
  <c r="D76" i="7"/>
  <c r="D78" i="7"/>
  <c r="D80" i="7"/>
  <c r="D82" i="7"/>
  <c r="D84" i="7"/>
  <c r="D86" i="7"/>
  <c r="D88" i="7"/>
  <c r="E59" i="7"/>
  <c r="E61" i="7"/>
  <c r="E63" i="7"/>
  <c r="E65" i="7"/>
  <c r="E67" i="7"/>
  <c r="E69" i="7"/>
  <c r="E71" i="7"/>
  <c r="E73" i="7"/>
  <c r="E75" i="7"/>
  <c r="E77" i="7"/>
  <c r="E79" i="7"/>
  <c r="E81" i="7"/>
  <c r="E83" i="7"/>
  <c r="E85" i="7"/>
  <c r="E87" i="7"/>
  <c r="E89" i="7"/>
  <c r="G59" i="7"/>
  <c r="G60" i="7"/>
  <c r="G61" i="7"/>
  <c r="G62" i="7"/>
  <c r="G63" i="7"/>
  <c r="G64" i="7"/>
  <c r="G65" i="7"/>
  <c r="G66" i="7"/>
  <c r="H14" i="7"/>
  <c r="H13" i="7"/>
  <c r="G55" i="7" l="1"/>
  <c r="E55" i="7"/>
  <c r="G54" i="7"/>
  <c r="G56" i="7"/>
  <c r="G53" i="7"/>
  <c r="E54" i="7"/>
  <c r="E56" i="7"/>
  <c r="E53" i="7"/>
  <c r="H10" i="7"/>
  <c r="H11" i="7"/>
  <c r="H12" i="7"/>
  <c r="H15" i="7"/>
  <c r="H16" i="7"/>
  <c r="H17" i="7"/>
  <c r="H18" i="7"/>
  <c r="H19" i="7"/>
  <c r="H20" i="7"/>
  <c r="H23" i="7"/>
  <c r="H24" i="7"/>
  <c r="H25" i="7"/>
  <c r="H26" i="7"/>
  <c r="H27" i="7"/>
  <c r="H28" i="7"/>
  <c r="H29" i="7"/>
  <c r="H30" i="7"/>
  <c r="H31" i="7"/>
  <c r="U39" i="7" l="1"/>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D30" i="10" l="1"/>
  <c r="D31" i="10"/>
  <c r="F20" i="10"/>
  <c r="D28" i="10"/>
  <c r="D29" i="10"/>
  <c r="D27" i="10"/>
  <c r="D25" i="10"/>
  <c r="D23" i="10"/>
  <c r="D26" i="10"/>
  <c r="D24" i="10"/>
  <c r="D22" i="10"/>
  <c r="AG12" i="7" l="1"/>
  <c r="AG29" i="7"/>
  <c r="AG28" i="7"/>
  <c r="AG27" i="7"/>
  <c r="AG26" i="7"/>
  <c r="AG25" i="7"/>
  <c r="AG24" i="7"/>
  <c r="AG23" i="7"/>
  <c r="AG22" i="7"/>
  <c r="AG21" i="7"/>
  <c r="AG20" i="7"/>
  <c r="AG19" i="7"/>
  <c r="AG18" i="7"/>
  <c r="AG17" i="7"/>
  <c r="AG16" i="7"/>
  <c r="AG15" i="7"/>
  <c r="AG14" i="7"/>
  <c r="AG10" i="7"/>
  <c r="AG31" i="7"/>
  <c r="AG33" i="7"/>
  <c r="AG35" i="7"/>
  <c r="AG37" i="7"/>
  <c r="AG39" i="7"/>
  <c r="AG11" i="7"/>
  <c r="AG13" i="7"/>
  <c r="AG30" i="7"/>
  <c r="AG32" i="7"/>
  <c r="AG34" i="7"/>
  <c r="AG36" i="7"/>
  <c r="AG38" i="7"/>
  <c r="AI12" i="7"/>
  <c r="AI11" i="7"/>
  <c r="AI10" i="7"/>
  <c r="AI29" i="7"/>
  <c r="AI28" i="7"/>
  <c r="AI27" i="7"/>
  <c r="AI26" i="7"/>
  <c r="AI25" i="7"/>
  <c r="AI24" i="7"/>
  <c r="AI23" i="7"/>
  <c r="AI22" i="7"/>
  <c r="AI21" i="7"/>
  <c r="AI20" i="7"/>
  <c r="AI19" i="7"/>
  <c r="AI18" i="7"/>
  <c r="AI17" i="7"/>
  <c r="AI16" i="7"/>
  <c r="AI15" i="7"/>
  <c r="AI14" i="7"/>
  <c r="AI13" i="7"/>
  <c r="AI30" i="7"/>
  <c r="AI32" i="7"/>
  <c r="AI34" i="7"/>
  <c r="AI36" i="7"/>
  <c r="AI38" i="7"/>
  <c r="AI31" i="7"/>
  <c r="AI33" i="7"/>
  <c r="AI35" i="7"/>
  <c r="AI37" i="7"/>
  <c r="AI39" i="7"/>
  <c r="H15" i="2"/>
  <c r="H16" i="2"/>
  <c r="AD9" i="2" s="1"/>
  <c r="AK9" i="2" s="1"/>
  <c r="AL9" i="2" s="1"/>
  <c r="H17" i="2"/>
  <c r="AD12" i="2" s="1"/>
  <c r="AK12" i="2" s="1"/>
  <c r="AL12" i="2" s="1"/>
  <c r="H18" i="2"/>
  <c r="AD16" i="2" s="1"/>
  <c r="H19" i="2"/>
  <c r="AD19" i="2" s="1"/>
  <c r="H20" i="2"/>
  <c r="AD22" i="2" s="1"/>
  <c r="H21" i="2"/>
  <c r="AD25" i="2" s="1"/>
  <c r="H22" i="2"/>
  <c r="AD27" i="2" s="1"/>
  <c r="AK27" i="2" s="1"/>
  <c r="AL27" i="2" s="1"/>
  <c r="H23" i="2"/>
  <c r="AD31" i="2" s="1"/>
  <c r="H24" i="2"/>
  <c r="H25" i="2"/>
  <c r="H26" i="2"/>
  <c r="H27" i="2"/>
  <c r="H28" i="2"/>
  <c r="H29" i="2"/>
  <c r="H30" i="2"/>
  <c r="H31" i="2"/>
  <c r="H32" i="2"/>
  <c r="H33" i="2"/>
  <c r="H34" i="2"/>
  <c r="H35" i="2"/>
  <c r="H36" i="2"/>
  <c r="H37" i="2"/>
  <c r="H38" i="2"/>
  <c r="H39" i="2"/>
  <c r="H40" i="2"/>
  <c r="H41" i="2"/>
  <c r="H42" i="2"/>
  <c r="H43" i="2"/>
  <c r="B15" i="2"/>
  <c r="C15" i="2"/>
  <c r="D15" i="2"/>
  <c r="E15" i="2"/>
  <c r="B16" i="2"/>
  <c r="C16" i="2"/>
  <c r="D16" i="2"/>
  <c r="E16" i="2"/>
  <c r="G16" i="2" s="1"/>
  <c r="B17" i="2"/>
  <c r="C17" i="2"/>
  <c r="D17" i="2"/>
  <c r="E17" i="2"/>
  <c r="G17" i="2" s="1"/>
  <c r="B18" i="2"/>
  <c r="C18" i="2"/>
  <c r="D18" i="2"/>
  <c r="E18" i="2"/>
  <c r="G18" i="2" s="1"/>
  <c r="B19" i="2"/>
  <c r="C19" i="2"/>
  <c r="D19" i="2"/>
  <c r="E19" i="2"/>
  <c r="G19" i="2" s="1"/>
  <c r="B20" i="2"/>
  <c r="C20" i="2"/>
  <c r="D20" i="2"/>
  <c r="E20" i="2"/>
  <c r="G20" i="2" s="1"/>
  <c r="B21" i="2"/>
  <c r="C21" i="2"/>
  <c r="D21" i="2"/>
  <c r="E21" i="2"/>
  <c r="G21" i="2" s="1"/>
  <c r="B22" i="2"/>
  <c r="C22" i="2"/>
  <c r="D22" i="2"/>
  <c r="E22" i="2"/>
  <c r="G22" i="2" s="1"/>
  <c r="B23" i="2"/>
  <c r="C23" i="2"/>
  <c r="D23" i="2"/>
  <c r="E23" i="2"/>
  <c r="G23" i="2" s="1"/>
  <c r="B24" i="2"/>
  <c r="C24" i="2"/>
  <c r="D24" i="2"/>
  <c r="E24" i="2"/>
  <c r="G24" i="2" s="1"/>
  <c r="B25" i="2"/>
  <c r="C25" i="2"/>
  <c r="D25" i="2"/>
  <c r="E25" i="2"/>
  <c r="G25" i="2" s="1"/>
  <c r="B26" i="2"/>
  <c r="C26" i="2"/>
  <c r="D26" i="2"/>
  <c r="E26" i="2"/>
  <c r="G26" i="2" s="1"/>
  <c r="B27" i="2"/>
  <c r="C27" i="2"/>
  <c r="D27" i="2"/>
  <c r="E27" i="2"/>
  <c r="G27" i="2" s="1"/>
  <c r="B28" i="2"/>
  <c r="C28" i="2"/>
  <c r="D28" i="2"/>
  <c r="E28" i="2"/>
  <c r="G28" i="2" s="1"/>
  <c r="B29" i="2"/>
  <c r="C29" i="2"/>
  <c r="D29" i="2"/>
  <c r="E29" i="2"/>
  <c r="G29" i="2" s="1"/>
  <c r="B30" i="2"/>
  <c r="C30" i="2"/>
  <c r="D30" i="2"/>
  <c r="E30" i="2"/>
  <c r="G30" i="2" s="1"/>
  <c r="B31" i="2"/>
  <c r="C31" i="2"/>
  <c r="D31" i="2"/>
  <c r="E31" i="2"/>
  <c r="G31" i="2" s="1"/>
  <c r="B32" i="2"/>
  <c r="C32" i="2"/>
  <c r="D32" i="2"/>
  <c r="E32" i="2"/>
  <c r="G32" i="2" s="1"/>
  <c r="B33" i="2"/>
  <c r="C33" i="2"/>
  <c r="D33" i="2"/>
  <c r="E33" i="2"/>
  <c r="G33" i="2" s="1"/>
  <c r="B34" i="2"/>
  <c r="C34" i="2"/>
  <c r="D34" i="2"/>
  <c r="E34" i="2"/>
  <c r="G34" i="2" s="1"/>
  <c r="B35" i="2"/>
  <c r="C35" i="2"/>
  <c r="D35" i="2"/>
  <c r="E35" i="2"/>
  <c r="G35" i="2" s="1"/>
  <c r="B36" i="2"/>
  <c r="C36" i="2"/>
  <c r="D36" i="2"/>
  <c r="E36" i="2"/>
  <c r="G36" i="2" s="1"/>
  <c r="B37" i="2"/>
  <c r="C37" i="2"/>
  <c r="D37" i="2"/>
  <c r="E37" i="2"/>
  <c r="G37" i="2" s="1"/>
  <c r="B38" i="2"/>
  <c r="C38" i="2"/>
  <c r="D38" i="2"/>
  <c r="E38" i="2"/>
  <c r="G38" i="2" s="1"/>
  <c r="B39" i="2"/>
  <c r="C39" i="2"/>
  <c r="D39" i="2"/>
  <c r="E39" i="2"/>
  <c r="G39" i="2" s="1"/>
  <c r="B40" i="2"/>
  <c r="C40" i="2"/>
  <c r="D40" i="2"/>
  <c r="E40" i="2"/>
  <c r="G40" i="2" s="1"/>
  <c r="B41" i="2"/>
  <c r="C41" i="2"/>
  <c r="D41" i="2"/>
  <c r="E41" i="2"/>
  <c r="G41" i="2" s="1"/>
  <c r="B42" i="2"/>
  <c r="C42" i="2"/>
  <c r="D42" i="2"/>
  <c r="E42" i="2"/>
  <c r="G42" i="2" s="1"/>
  <c r="B43" i="2"/>
  <c r="C43" i="2"/>
  <c r="D43" i="2"/>
  <c r="E43" i="2"/>
  <c r="G43" i="2" s="1"/>
  <c r="G15" i="2" l="1"/>
  <c r="V6" i="2"/>
  <c r="AT11" i="7" s="1"/>
  <c r="AU11" i="7" s="1"/>
  <c r="AG41" i="7"/>
  <c r="AI41" i="7"/>
  <c r="V48" i="2"/>
  <c r="AT25" i="7" s="1"/>
  <c r="AU25" i="7" s="1"/>
  <c r="V36" i="2"/>
  <c r="AT21" i="7" s="1"/>
  <c r="AU21" i="7" s="1"/>
  <c r="V90" i="2"/>
  <c r="AT39" i="7" s="1"/>
  <c r="AU39" i="7" s="1"/>
  <c r="AD92" i="2"/>
  <c r="V87" i="2"/>
  <c r="AT38" i="7" s="1"/>
  <c r="AU38" i="7" s="1"/>
  <c r="AD89" i="2"/>
  <c r="V84" i="2"/>
  <c r="AT37" i="7" s="1"/>
  <c r="AU37" i="7" s="1"/>
  <c r="AD86" i="2"/>
  <c r="V18" i="2"/>
  <c r="AT15" i="7" s="1"/>
  <c r="AU15" i="7" s="1"/>
  <c r="V15" i="2"/>
  <c r="AT14" i="7" s="1"/>
  <c r="AU14" i="7" s="1"/>
  <c r="V12" i="2"/>
  <c r="AT13" i="7" s="1"/>
  <c r="AU13" i="7" s="1"/>
  <c r="V9" i="2"/>
  <c r="AT12" i="7" s="1"/>
  <c r="AU12" i="7" s="1"/>
  <c r="AD87" i="2"/>
  <c r="AK87" i="2" s="1"/>
  <c r="AD88" i="2"/>
  <c r="AD81" i="2"/>
  <c r="AK81" i="2" s="1"/>
  <c r="AD82" i="2"/>
  <c r="AD75" i="2"/>
  <c r="AK75" i="2" s="1"/>
  <c r="AD76" i="2"/>
  <c r="AD69" i="2"/>
  <c r="AK69" i="2" s="1"/>
  <c r="AD70" i="2"/>
  <c r="AD63" i="2"/>
  <c r="AK63" i="2" s="1"/>
  <c r="AD64" i="2"/>
  <c r="AD57" i="2"/>
  <c r="AK57" i="2" s="1"/>
  <c r="AD58" i="2"/>
  <c r="AD52" i="2"/>
  <c r="AD51" i="2"/>
  <c r="AK51" i="2" s="1"/>
  <c r="V81" i="2"/>
  <c r="AT36" i="7" s="1"/>
  <c r="AU36" i="7" s="1"/>
  <c r="AD83" i="2"/>
  <c r="V78" i="2"/>
  <c r="AT35" i="7" s="1"/>
  <c r="AU35" i="7" s="1"/>
  <c r="AD80" i="2"/>
  <c r="V75" i="2"/>
  <c r="AT34" i="7" s="1"/>
  <c r="AU34" i="7" s="1"/>
  <c r="AD77" i="2"/>
  <c r="V72" i="2"/>
  <c r="AT33" i="7" s="1"/>
  <c r="AU33" i="7" s="1"/>
  <c r="AD74" i="2"/>
  <c r="V69" i="2"/>
  <c r="AT32" i="7" s="1"/>
  <c r="AU32" i="7" s="1"/>
  <c r="AD71" i="2"/>
  <c r="V66" i="2"/>
  <c r="AT31" i="7" s="1"/>
  <c r="AU31" i="7" s="1"/>
  <c r="AD68" i="2"/>
  <c r="V63" i="2"/>
  <c r="AT30" i="7" s="1"/>
  <c r="AU30" i="7" s="1"/>
  <c r="AD65" i="2"/>
  <c r="V60" i="2"/>
  <c r="AT29" i="7" s="1"/>
  <c r="AU29" i="7" s="1"/>
  <c r="AD62" i="2"/>
  <c r="V57" i="2"/>
  <c r="AT28" i="7" s="1"/>
  <c r="AU28" i="7" s="1"/>
  <c r="AD59" i="2"/>
  <c r="V54" i="2"/>
  <c r="AT27" i="7" s="1"/>
  <c r="AU27" i="7" s="1"/>
  <c r="AD56" i="2"/>
  <c r="V51" i="2"/>
  <c r="AT26" i="7" s="1"/>
  <c r="AU26" i="7" s="1"/>
  <c r="AD53" i="2"/>
  <c r="AD91" i="2"/>
  <c r="AQ91" i="2" s="1"/>
  <c r="AD90" i="2"/>
  <c r="AD85" i="2"/>
  <c r="AD84" i="2"/>
  <c r="AK84" i="2" s="1"/>
  <c r="AD79" i="2"/>
  <c r="AD78" i="2"/>
  <c r="AK78" i="2" s="1"/>
  <c r="AD73" i="2"/>
  <c r="AD72" i="2"/>
  <c r="AK72" i="2" s="1"/>
  <c r="AD67" i="2"/>
  <c r="AD66" i="2"/>
  <c r="AK66" i="2" s="1"/>
  <c r="AD61" i="2"/>
  <c r="AD60" i="2"/>
  <c r="AK60" i="2" s="1"/>
  <c r="AD55" i="2"/>
  <c r="AD54" i="2"/>
  <c r="AK54" i="2" s="1"/>
  <c r="AD41" i="2"/>
  <c r="V39" i="2"/>
  <c r="AT22" i="7" s="1"/>
  <c r="AU22" i="7" s="1"/>
  <c r="V30" i="2"/>
  <c r="AT19" i="7" s="1"/>
  <c r="AU19" i="7" s="1"/>
  <c r="V27" i="2"/>
  <c r="AT18" i="7" s="1"/>
  <c r="AU18" i="7" s="1"/>
  <c r="V24" i="2"/>
  <c r="AT17" i="7" s="1"/>
  <c r="AU17" i="7" s="1"/>
  <c r="V21" i="2"/>
  <c r="AT16" i="7" s="1"/>
  <c r="AU16" i="7" s="1"/>
  <c r="V45" i="2"/>
  <c r="AT24" i="7" s="1"/>
  <c r="AU24" i="7" s="1"/>
  <c r="V42" i="2"/>
  <c r="AT23" i="7" s="1"/>
  <c r="AU23" i="7" s="1"/>
  <c r="V33" i="2"/>
  <c r="AT20" i="7" s="1"/>
  <c r="AU20" i="7" s="1"/>
  <c r="AD17" i="2"/>
  <c r="AD21" i="2"/>
  <c r="AK21" i="2" s="1"/>
  <c r="AL21" i="2" s="1"/>
  <c r="AD50" i="2"/>
  <c r="AD44" i="2"/>
  <c r="AD49" i="2"/>
  <c r="AD48" i="2"/>
  <c r="AK48" i="2" s="1"/>
  <c r="AL48" i="2" s="1"/>
  <c r="AD36" i="2"/>
  <c r="AK36" i="2" s="1"/>
  <c r="AL36" i="2" s="1"/>
  <c r="AD37" i="2"/>
  <c r="AD46" i="2"/>
  <c r="AD45" i="2"/>
  <c r="AK45" i="2" s="1"/>
  <c r="AL45" i="2" s="1"/>
  <c r="AD33" i="2"/>
  <c r="AK33" i="2" s="1"/>
  <c r="AL33" i="2" s="1"/>
  <c r="AD34" i="2"/>
  <c r="AD30" i="2"/>
  <c r="AK30" i="2" s="1"/>
  <c r="AL30" i="2" s="1"/>
  <c r="AD47" i="2"/>
  <c r="AD38" i="2"/>
  <c r="AD35" i="2"/>
  <c r="AD42" i="2"/>
  <c r="AK42" i="2" s="1"/>
  <c r="AL42" i="2" s="1"/>
  <c r="AD43" i="2"/>
  <c r="AD40" i="2"/>
  <c r="AD39" i="2"/>
  <c r="AK39" i="2" s="1"/>
  <c r="AL39" i="2" s="1"/>
  <c r="AD10" i="2"/>
  <c r="AD32" i="2"/>
  <c r="AD24" i="2"/>
  <c r="AK24" i="2" s="1"/>
  <c r="AL24" i="2" s="1"/>
  <c r="AD28" i="2"/>
  <c r="AD13" i="2"/>
  <c r="AD14" i="2"/>
  <c r="AD20" i="2"/>
  <c r="AD15" i="2"/>
  <c r="AK15" i="2" s="1"/>
  <c r="AL15" i="2" s="1"/>
  <c r="AD11" i="2"/>
  <c r="AD29" i="2"/>
  <c r="AD18" i="2"/>
  <c r="AK18" i="2" s="1"/>
  <c r="AL18" i="2" s="1"/>
  <c r="AD26" i="2"/>
  <c r="AD23" i="2"/>
  <c r="Z32" i="7" l="1"/>
  <c r="AA32" i="7" s="1"/>
  <c r="Z34" i="7"/>
  <c r="AA34" i="7" s="1"/>
  <c r="Z35" i="7"/>
  <c r="AA35" i="7" s="1"/>
  <c r="Z31" i="7"/>
  <c r="AA31" i="7" s="1"/>
  <c r="Z36" i="7"/>
  <c r="AA36" i="7" s="1"/>
  <c r="Z38" i="7"/>
  <c r="AA38" i="7" s="1"/>
  <c r="Z39" i="7"/>
  <c r="AA39" i="7" s="1"/>
  <c r="AK90" i="2"/>
  <c r="AL90" i="2" s="1"/>
  <c r="AQ90" i="2"/>
  <c r="AQ92" i="2"/>
  <c r="AL54" i="2"/>
  <c r="AL60" i="2"/>
  <c r="AL66" i="2"/>
  <c r="AL72" i="2"/>
  <c r="AL78" i="2"/>
  <c r="AL84" i="2"/>
  <c r="AL51" i="2"/>
  <c r="AL57" i="2"/>
  <c r="AL63" i="2"/>
  <c r="AL69" i="2"/>
  <c r="AL75" i="2"/>
  <c r="AL81" i="2"/>
  <c r="AL87" i="2"/>
  <c r="X90" i="2"/>
  <c r="W90" i="2"/>
  <c r="Y90" i="2" s="1"/>
  <c r="U90" i="2"/>
  <c r="T90" i="2"/>
  <c r="S90" i="2"/>
  <c r="R90" i="2"/>
  <c r="AA90" i="2" s="1"/>
  <c r="AC90" i="2" s="1"/>
  <c r="AC92" i="2" l="1"/>
  <c r="AK91" i="2"/>
  <c r="AM90" i="2"/>
  <c r="AL91" i="2"/>
  <c r="AN90" i="2"/>
  <c r="AE90" i="2"/>
  <c r="AM91" i="2"/>
  <c r="AB90" i="2"/>
  <c r="AF90" i="2" s="1"/>
  <c r="AI90" i="2"/>
  <c r="AD39" i="7" s="1"/>
  <c r="AJ39" i="7" s="1"/>
  <c r="AN91" i="2"/>
  <c r="AH90" i="2"/>
  <c r="AY11" i="2"/>
  <c r="AY12" i="2"/>
  <c r="H14" i="2"/>
  <c r="G14" i="2"/>
  <c r="AG90" i="2" l="1"/>
  <c r="AE39" i="7"/>
  <c r="AR39" i="7"/>
  <c r="AS39" i="7" s="1"/>
  <c r="AP90" i="2"/>
  <c r="D14" i="2"/>
  <c r="C14" i="2"/>
  <c r="B14" i="2"/>
  <c r="H21" i="7"/>
  <c r="H22" i="7"/>
  <c r="H32" i="7"/>
  <c r="H33" i="7"/>
  <c r="H34" i="7"/>
  <c r="H35" i="7"/>
  <c r="H36" i="7"/>
  <c r="H37" i="7"/>
  <c r="I5" i="7"/>
  <c r="AK39" i="7" l="1"/>
  <c r="V3" i="2"/>
  <c r="AT10" i="7" s="1"/>
  <c r="AJ90" i="2"/>
  <c r="I6" i="7"/>
  <c r="AU10" i="7" l="1"/>
  <c r="AU41" i="7" s="1"/>
  <c r="AT41" i="7"/>
  <c r="R15" i="2"/>
  <c r="S15" i="2"/>
  <c r="T15" i="2"/>
  <c r="U15" i="2"/>
  <c r="W15" i="2"/>
  <c r="Y16" i="2" s="1"/>
  <c r="X15" i="2"/>
  <c r="Y17" i="2" s="1"/>
  <c r="AQ15" i="2"/>
  <c r="AQ16" i="2"/>
  <c r="AQ17" i="2"/>
  <c r="R18" i="2"/>
  <c r="S18" i="2"/>
  <c r="T18" i="2"/>
  <c r="U18" i="2"/>
  <c r="W18" i="2"/>
  <c r="Y19" i="2" s="1"/>
  <c r="X18" i="2"/>
  <c r="Y20" i="2" s="1"/>
  <c r="AQ18" i="2"/>
  <c r="AQ19" i="2"/>
  <c r="AQ20" i="2"/>
  <c r="R21" i="2"/>
  <c r="AA21" i="2" s="1"/>
  <c r="S21" i="2"/>
  <c r="T21" i="2"/>
  <c r="U21" i="2"/>
  <c r="W21" i="2"/>
  <c r="Y21" i="2" s="1"/>
  <c r="X21" i="2"/>
  <c r="Y23" i="2" s="1"/>
  <c r="AQ21" i="2"/>
  <c r="AQ22" i="2"/>
  <c r="AQ23" i="2"/>
  <c r="R24" i="2"/>
  <c r="AA24" i="2" s="1"/>
  <c r="S24" i="2"/>
  <c r="T24" i="2"/>
  <c r="U24" i="2"/>
  <c r="W24" i="2"/>
  <c r="Y24" i="2" s="1"/>
  <c r="X24" i="2"/>
  <c r="AQ24" i="2"/>
  <c r="AQ25" i="2"/>
  <c r="AC23" i="2" l="1"/>
  <c r="AC17" i="2"/>
  <c r="AC24" i="2"/>
  <c r="AH24" i="2" s="1"/>
  <c r="AC26" i="2"/>
  <c r="AC21" i="2"/>
  <c r="AH21" i="2" s="1"/>
  <c r="AC20" i="2"/>
  <c r="AM25" i="2"/>
  <c r="AK25" i="2"/>
  <c r="AE24" i="2"/>
  <c r="AN25" i="2"/>
  <c r="AL25" i="2"/>
  <c r="AN24" i="2"/>
  <c r="AM24" i="2"/>
  <c r="AM18" i="2"/>
  <c r="AN18" i="2"/>
  <c r="AM19" i="2"/>
  <c r="AN19" i="2"/>
  <c r="AK19" i="2"/>
  <c r="AL19" i="2"/>
  <c r="AN22" i="2"/>
  <c r="AL22" i="2"/>
  <c r="AM22" i="2"/>
  <c r="AK22" i="2"/>
  <c r="AE21" i="2"/>
  <c r="AN21" i="2"/>
  <c r="AM21" i="2"/>
  <c r="AN15" i="2"/>
  <c r="AM15" i="2"/>
  <c r="AN16" i="2"/>
  <c r="AM16" i="2"/>
  <c r="AK16" i="2"/>
  <c r="AL16" i="2"/>
  <c r="AA18" i="2"/>
  <c r="AE18" i="2"/>
  <c r="AA15" i="2"/>
  <c r="AC15" i="2" s="1"/>
  <c r="AE15" i="2"/>
  <c r="AB15" i="2"/>
  <c r="AB18" i="2"/>
  <c r="AB24" i="2"/>
  <c r="AG24" i="2" s="1"/>
  <c r="AB21" i="2"/>
  <c r="AO22" i="2"/>
  <c r="AI21" i="2"/>
  <c r="AD16" i="7" s="1"/>
  <c r="AJ16" i="7" s="1"/>
  <c r="AA19" i="2"/>
  <c r="AC19" i="2" s="1"/>
  <c r="AO24" i="2"/>
  <c r="AA23" i="2"/>
  <c r="AA22" i="2"/>
  <c r="AC22" i="2" s="1"/>
  <c r="AO21" i="2"/>
  <c r="AI18" i="2"/>
  <c r="AD15" i="7" s="1"/>
  <c r="AJ15" i="7" s="1"/>
  <c r="AA20" i="2"/>
  <c r="AO16" i="2"/>
  <c r="AO15" i="2"/>
  <c r="AO25" i="2"/>
  <c r="AA25" i="2"/>
  <c r="AC25" i="2" s="1"/>
  <c r="AI24" i="2"/>
  <c r="AD17" i="7" s="1"/>
  <c r="AJ17" i="7" s="1"/>
  <c r="AO19" i="2"/>
  <c r="AO18" i="2"/>
  <c r="AA17" i="2"/>
  <c r="AA16" i="2"/>
  <c r="AC16" i="2" s="1"/>
  <c r="AI15" i="2"/>
  <c r="AD14" i="7" s="1"/>
  <c r="AJ14" i="7" s="1"/>
  <c r="Y25" i="2"/>
  <c r="Y22" i="2"/>
  <c r="Y18" i="2"/>
  <c r="Y15" i="2"/>
  <c r="AB25" i="2"/>
  <c r="AB23" i="2"/>
  <c r="AB22" i="2"/>
  <c r="AB20" i="2"/>
  <c r="AB19" i="2"/>
  <c r="AB17" i="2"/>
  <c r="AB16" i="2"/>
  <c r="AD3" i="2"/>
  <c r="AD4" i="2"/>
  <c r="AQ4" i="2" s="1"/>
  <c r="AD5" i="2"/>
  <c r="AD8" i="2"/>
  <c r="AQ11" i="2"/>
  <c r="AQ14" i="2"/>
  <c r="AQ26" i="2"/>
  <c r="AQ29" i="2"/>
  <c r="AQ32" i="2"/>
  <c r="AQ35" i="2"/>
  <c r="AQ38" i="2"/>
  <c r="AQ41" i="2"/>
  <c r="AQ44" i="2"/>
  <c r="AQ50" i="2"/>
  <c r="AQ89" i="2"/>
  <c r="AQ88" i="2"/>
  <c r="AQ87" i="2"/>
  <c r="AQ85" i="2"/>
  <c r="AQ83" i="2"/>
  <c r="AQ80" i="2"/>
  <c r="G77" i="4"/>
  <c r="AQ78" i="2"/>
  <c r="AQ76" i="2"/>
  <c r="AQ67" i="2"/>
  <c r="AQ54" i="2"/>
  <c r="AQ43" i="2"/>
  <c r="AQ42" i="2"/>
  <c r="AQ40" i="2"/>
  <c r="AQ39" i="2"/>
  <c r="AQ37" i="2"/>
  <c r="AQ36" i="2"/>
  <c r="AQ34" i="2"/>
  <c r="AQ33" i="2"/>
  <c r="G52" i="4"/>
  <c r="H81" i="4"/>
  <c r="I81" i="4"/>
  <c r="J81" i="4"/>
  <c r="K81" i="4"/>
  <c r="L81" i="4"/>
  <c r="H82" i="4"/>
  <c r="I82" i="4"/>
  <c r="H84" i="4"/>
  <c r="I84" i="4"/>
  <c r="J84" i="4"/>
  <c r="K84" i="4"/>
  <c r="L84" i="4"/>
  <c r="H85" i="4"/>
  <c r="I85" i="4"/>
  <c r="H87" i="4"/>
  <c r="I87" i="4"/>
  <c r="J87" i="4"/>
  <c r="K87" i="4"/>
  <c r="L87" i="4"/>
  <c r="H88" i="4"/>
  <c r="I88" i="4"/>
  <c r="H90" i="4"/>
  <c r="I90" i="4"/>
  <c r="J90" i="4"/>
  <c r="K90" i="4"/>
  <c r="L90" i="4"/>
  <c r="H55" i="4"/>
  <c r="I55" i="4"/>
  <c r="H57" i="4"/>
  <c r="I57" i="4"/>
  <c r="J57" i="4"/>
  <c r="K57" i="4"/>
  <c r="L57" i="4"/>
  <c r="H58" i="4"/>
  <c r="I58" i="4"/>
  <c r="H60" i="4"/>
  <c r="I60" i="4"/>
  <c r="J60" i="4"/>
  <c r="K60" i="4"/>
  <c r="L60" i="4"/>
  <c r="H61" i="4"/>
  <c r="I61" i="4"/>
  <c r="H63" i="4"/>
  <c r="I63" i="4"/>
  <c r="J63" i="4"/>
  <c r="K63" i="4"/>
  <c r="L63" i="4"/>
  <c r="H64" i="4"/>
  <c r="I64" i="4"/>
  <c r="H66" i="4"/>
  <c r="I66" i="4"/>
  <c r="J66" i="4"/>
  <c r="K66" i="4"/>
  <c r="L66" i="4"/>
  <c r="H67" i="4"/>
  <c r="I67" i="4"/>
  <c r="H69" i="4"/>
  <c r="I69" i="4"/>
  <c r="J69" i="4"/>
  <c r="K69" i="4"/>
  <c r="L69" i="4"/>
  <c r="H70" i="4"/>
  <c r="I70" i="4"/>
  <c r="H72" i="4"/>
  <c r="I72" i="4"/>
  <c r="J72" i="4"/>
  <c r="K72" i="4"/>
  <c r="L72" i="4"/>
  <c r="H73" i="4"/>
  <c r="I73" i="4"/>
  <c r="H75" i="4"/>
  <c r="I75" i="4"/>
  <c r="J75" i="4"/>
  <c r="K75" i="4"/>
  <c r="L75" i="4"/>
  <c r="H76" i="4"/>
  <c r="I76" i="4"/>
  <c r="H78" i="4"/>
  <c r="I78" i="4"/>
  <c r="J78" i="4"/>
  <c r="K78" i="4"/>
  <c r="L78" i="4"/>
  <c r="H79" i="4"/>
  <c r="I79" i="4"/>
  <c r="G90" i="6" s="1"/>
  <c r="H92" i="6" s="1"/>
  <c r="X87" i="2"/>
  <c r="Y89" i="2" s="1"/>
  <c r="X84" i="2"/>
  <c r="G84" i="6" s="1"/>
  <c r="H86" i="6" s="1"/>
  <c r="X81" i="2"/>
  <c r="G81" i="6" s="1"/>
  <c r="H83" i="6" s="1"/>
  <c r="X78" i="2"/>
  <c r="X75" i="2"/>
  <c r="X72" i="2"/>
  <c r="Y74" i="2" s="1"/>
  <c r="X69" i="2"/>
  <c r="X66" i="2"/>
  <c r="X63" i="2"/>
  <c r="G63" i="6" s="1"/>
  <c r="H65" i="6" s="1"/>
  <c r="X60" i="2"/>
  <c r="G60" i="6" s="1"/>
  <c r="H62" i="6" s="1"/>
  <c r="X57" i="2"/>
  <c r="Y59" i="2" s="1"/>
  <c r="X54" i="2"/>
  <c r="Y56" i="2" s="1"/>
  <c r="X51" i="2"/>
  <c r="Y53" i="2" s="1"/>
  <c r="X48" i="2"/>
  <c r="Y50" i="2" s="1"/>
  <c r="X45" i="2"/>
  <c r="X42" i="2"/>
  <c r="X39" i="2"/>
  <c r="X36" i="2"/>
  <c r="X33" i="2"/>
  <c r="W87" i="2"/>
  <c r="W84" i="2"/>
  <c r="W81" i="2"/>
  <c r="Y81" i="2" s="1"/>
  <c r="F79" i="4" s="1"/>
  <c r="W78" i="2"/>
  <c r="W75" i="2"/>
  <c r="Y76" i="2" s="1"/>
  <c r="F74" i="4" s="1"/>
  <c r="W72" i="2"/>
  <c r="Y73" i="2" s="1"/>
  <c r="F71" i="4" s="1"/>
  <c r="W69" i="2"/>
  <c r="Y69" i="2" s="1"/>
  <c r="F67" i="4" s="1"/>
  <c r="W66" i="2"/>
  <c r="Y67" i="2" s="1"/>
  <c r="F65" i="4" s="1"/>
  <c r="W63" i="2"/>
  <c r="W60" i="2"/>
  <c r="W57" i="2"/>
  <c r="Y58" i="2" s="1"/>
  <c r="F56" i="4" s="1"/>
  <c r="W54" i="2"/>
  <c r="Y55" i="2" s="1"/>
  <c r="W51" i="2"/>
  <c r="Y52" i="2" s="1"/>
  <c r="W48" i="2"/>
  <c r="Y49" i="2" s="1"/>
  <c r="W45" i="2"/>
  <c r="W42" i="2"/>
  <c r="W39" i="2"/>
  <c r="W36" i="2"/>
  <c r="W33" i="2"/>
  <c r="E90" i="6"/>
  <c r="U87" i="2"/>
  <c r="U84" i="2"/>
  <c r="U81" i="2"/>
  <c r="U78" i="2"/>
  <c r="U75" i="2"/>
  <c r="U72" i="2"/>
  <c r="U69" i="2"/>
  <c r="U66" i="2"/>
  <c r="U63" i="2"/>
  <c r="U60" i="2"/>
  <c r="U57" i="2"/>
  <c r="U54" i="2"/>
  <c r="U51" i="2"/>
  <c r="U48" i="2"/>
  <c r="U45" i="2"/>
  <c r="U42" i="2"/>
  <c r="U39" i="2"/>
  <c r="U36" i="2"/>
  <c r="U33" i="2"/>
  <c r="T87" i="2"/>
  <c r="T84" i="2"/>
  <c r="D84" i="6" s="1"/>
  <c r="T81" i="2"/>
  <c r="T78" i="2"/>
  <c r="T75" i="2"/>
  <c r="T72" i="2"/>
  <c r="D72" i="6" s="1"/>
  <c r="T69" i="2"/>
  <c r="T66" i="2"/>
  <c r="T63" i="2"/>
  <c r="T60" i="2"/>
  <c r="T57" i="2"/>
  <c r="T54" i="2"/>
  <c r="T51" i="2"/>
  <c r="T48" i="2"/>
  <c r="T45" i="2"/>
  <c r="T42" i="2"/>
  <c r="T39" i="2"/>
  <c r="T36" i="2"/>
  <c r="T33" i="2"/>
  <c r="C90" i="6" s="1"/>
  <c r="S87" i="2"/>
  <c r="C87" i="6" s="1"/>
  <c r="S84" i="2"/>
  <c r="C84" i="6" s="1"/>
  <c r="S81" i="2"/>
  <c r="C81" i="6" s="1"/>
  <c r="S78" i="2"/>
  <c r="C78" i="6" s="1"/>
  <c r="S75" i="2"/>
  <c r="C75" i="6" s="1"/>
  <c r="S72" i="2"/>
  <c r="C72" i="6" s="1"/>
  <c r="S69" i="2"/>
  <c r="C69" i="6" s="1"/>
  <c r="S66" i="2"/>
  <c r="C66" i="6" s="1"/>
  <c r="S63" i="2"/>
  <c r="C63" i="6" s="1"/>
  <c r="S60" i="2"/>
  <c r="C60" i="6" s="1"/>
  <c r="S57" i="2"/>
  <c r="C57" i="6" s="1"/>
  <c r="S54" i="2"/>
  <c r="S51" i="2"/>
  <c r="S48" i="2"/>
  <c r="S45" i="2"/>
  <c r="S42" i="2"/>
  <c r="S39" i="2"/>
  <c r="S36" i="2"/>
  <c r="S33" i="2"/>
  <c r="R87" i="2"/>
  <c r="R84" i="2"/>
  <c r="R81" i="2"/>
  <c r="B81" i="6" s="1"/>
  <c r="R78" i="2"/>
  <c r="R75" i="2"/>
  <c r="R72" i="2"/>
  <c r="AA72" i="2" s="1"/>
  <c r="AC72" i="2" s="1"/>
  <c r="R69" i="2"/>
  <c r="B69" i="6" s="1"/>
  <c r="R66" i="2"/>
  <c r="AA66" i="2" s="1"/>
  <c r="R63" i="2"/>
  <c r="R60" i="2"/>
  <c r="AA60" i="2" s="1"/>
  <c r="AC60" i="2" s="1"/>
  <c r="R57" i="2"/>
  <c r="B57" i="6" s="1"/>
  <c r="R54" i="2"/>
  <c r="AA54" i="2" s="1"/>
  <c r="R51" i="2"/>
  <c r="AA51" i="2" s="1"/>
  <c r="R48" i="2"/>
  <c r="AA48" i="2" s="1"/>
  <c r="AC48" i="2" s="1"/>
  <c r="R45" i="2"/>
  <c r="R42" i="2"/>
  <c r="R39" i="2"/>
  <c r="R36" i="2"/>
  <c r="R33" i="2"/>
  <c r="M90" i="6"/>
  <c r="Y83" i="2"/>
  <c r="M79" i="6"/>
  <c r="AC66" i="2" l="1"/>
  <c r="AC51" i="2"/>
  <c r="AC54" i="2"/>
  <c r="AF21" i="2"/>
  <c r="AJ21" i="2" s="1"/>
  <c r="AF24" i="2"/>
  <c r="AJ24" i="2" s="1"/>
  <c r="AF15" i="2"/>
  <c r="AJ15" i="2" s="1"/>
  <c r="N94" i="12"/>
  <c r="M94" i="12"/>
  <c r="N69" i="12"/>
  <c r="M69" i="12"/>
  <c r="AC71" i="2"/>
  <c r="AC77" i="2"/>
  <c r="AC83" i="2"/>
  <c r="AC89" i="2"/>
  <c r="AC44" i="2"/>
  <c r="AC50" i="2"/>
  <c r="AC56" i="2"/>
  <c r="AC62" i="2"/>
  <c r="AC68" i="2"/>
  <c r="AC74" i="2"/>
  <c r="AC80" i="2"/>
  <c r="AC86" i="2"/>
  <c r="AC38" i="2"/>
  <c r="Z16" i="7"/>
  <c r="AA16" i="7" s="1"/>
  <c r="AC47" i="2"/>
  <c r="AC53" i="2"/>
  <c r="AC59" i="2"/>
  <c r="L59" i="6" s="1"/>
  <c r="AC65" i="2"/>
  <c r="AC35" i="2"/>
  <c r="AC41" i="2"/>
  <c r="AG21" i="2"/>
  <c r="AC18" i="2"/>
  <c r="AP18" i="2" s="1"/>
  <c r="Z15" i="7"/>
  <c r="AA15" i="7" s="1"/>
  <c r="X14" i="7"/>
  <c r="Y14" i="7" s="1"/>
  <c r="X15" i="7"/>
  <c r="Y15" i="7" s="1"/>
  <c r="X16" i="7"/>
  <c r="Y16" i="7" s="1"/>
  <c r="Z14" i="7"/>
  <c r="AA14" i="7" s="1"/>
  <c r="AE17" i="7"/>
  <c r="AR17" i="7"/>
  <c r="AS17" i="7" s="1"/>
  <c r="AE16" i="7"/>
  <c r="AR16" i="7"/>
  <c r="AS16" i="7" s="1"/>
  <c r="AE15" i="7"/>
  <c r="AR15" i="7"/>
  <c r="AS15" i="7" s="1"/>
  <c r="AE14" i="7"/>
  <c r="AR14" i="7"/>
  <c r="AS14" i="7" s="1"/>
  <c r="AE42" i="2"/>
  <c r="AH15" i="2"/>
  <c r="AG16" i="2"/>
  <c r="AG20" i="2"/>
  <c r="AG23" i="2"/>
  <c r="AG19" i="2"/>
  <c r="AG17" i="2"/>
  <c r="AG25" i="2"/>
  <c r="AG22" i="2"/>
  <c r="AG15" i="2"/>
  <c r="AQ8" i="2"/>
  <c r="AQ5" i="2"/>
  <c r="AI69" i="2"/>
  <c r="AD32" i="7" s="1"/>
  <c r="AJ32" i="7" s="1"/>
  <c r="AF25" i="2"/>
  <c r="AJ25" i="2" s="1"/>
  <c r="AF22" i="2"/>
  <c r="AJ22" i="2" s="1"/>
  <c r="AK55" i="2"/>
  <c r="AM54" i="2"/>
  <c r="AL55" i="2"/>
  <c r="AN54" i="2"/>
  <c r="AE54" i="2"/>
  <c r="AM55" i="2"/>
  <c r="AB54" i="2"/>
  <c r="AG54" i="2" s="1"/>
  <c r="AN55" i="2"/>
  <c r="AK61" i="2"/>
  <c r="H59" i="4" s="1"/>
  <c r="AM60" i="2"/>
  <c r="AL61" i="2"/>
  <c r="I59" i="4" s="1"/>
  <c r="AN60" i="2"/>
  <c r="K58" i="4" s="1"/>
  <c r="AE60" i="2"/>
  <c r="AM61" i="2"/>
  <c r="J59" i="4" s="1"/>
  <c r="AB60" i="2"/>
  <c r="AF60" i="2" s="1"/>
  <c r="AN61" i="2"/>
  <c r="K59" i="4" s="1"/>
  <c r="AK67" i="2"/>
  <c r="H65" i="4" s="1"/>
  <c r="AM66" i="2"/>
  <c r="J64" i="4" s="1"/>
  <c r="AL67" i="2"/>
  <c r="I65" i="4" s="1"/>
  <c r="AN66" i="2"/>
  <c r="K64" i="4" s="1"/>
  <c r="AE66" i="2"/>
  <c r="AM67" i="2"/>
  <c r="J65" i="4" s="1"/>
  <c r="AB66" i="2"/>
  <c r="AN67" i="2"/>
  <c r="K65" i="4" s="1"/>
  <c r="AK73" i="2"/>
  <c r="H71" i="4" s="1"/>
  <c r="AM72" i="2"/>
  <c r="AL73" i="2"/>
  <c r="I71" i="4" s="1"/>
  <c r="AN72" i="2"/>
  <c r="K70" i="4" s="1"/>
  <c r="AE72" i="2"/>
  <c r="AM73" i="2"/>
  <c r="J71" i="4" s="1"/>
  <c r="AB72" i="2"/>
  <c r="AF72" i="2" s="1"/>
  <c r="AN73" i="2"/>
  <c r="K71" i="4" s="1"/>
  <c r="AK79" i="2"/>
  <c r="AM78" i="2"/>
  <c r="J76" i="4" s="1"/>
  <c r="AL79" i="2"/>
  <c r="I77" i="4" s="1"/>
  <c r="AN78" i="2"/>
  <c r="K76" i="4" s="1"/>
  <c r="AE78" i="2"/>
  <c r="AM79" i="2"/>
  <c r="AB78" i="2"/>
  <c r="AN79" i="2"/>
  <c r="K77" i="4" s="1"/>
  <c r="K88" i="4" s="1"/>
  <c r="AK85" i="2"/>
  <c r="H83" i="4" s="1"/>
  <c r="AM84" i="2"/>
  <c r="J82" i="4" s="1"/>
  <c r="AL85" i="2"/>
  <c r="I83" i="4" s="1"/>
  <c r="AN84" i="2"/>
  <c r="AE84" i="2"/>
  <c r="AM85" i="2"/>
  <c r="J83" i="4" s="1"/>
  <c r="AB84" i="2"/>
  <c r="AN85" i="2"/>
  <c r="K83" i="4" s="1"/>
  <c r="AL52" i="2"/>
  <c r="AN51" i="2"/>
  <c r="AE51" i="2"/>
  <c r="AK52" i="2"/>
  <c r="AM51" i="2"/>
  <c r="AM52" i="2"/>
  <c r="AB51" i="2"/>
  <c r="AG51" i="2" s="1"/>
  <c r="AN52" i="2"/>
  <c r="AL58" i="2"/>
  <c r="I56" i="4" s="1"/>
  <c r="AN57" i="2"/>
  <c r="K55" i="4" s="1"/>
  <c r="AE57" i="2"/>
  <c r="AK58" i="2"/>
  <c r="H56" i="4" s="1"/>
  <c r="AM57" i="2"/>
  <c r="J55" i="4" s="1"/>
  <c r="AM58" i="2"/>
  <c r="AB57" i="2"/>
  <c r="AN58" i="2"/>
  <c r="K56" i="4" s="1"/>
  <c r="AL64" i="2"/>
  <c r="I62" i="4" s="1"/>
  <c r="AN63" i="2"/>
  <c r="K61" i="4" s="1"/>
  <c r="AE63" i="2"/>
  <c r="AK64" i="2"/>
  <c r="H62" i="4" s="1"/>
  <c r="AM63" i="2"/>
  <c r="J61" i="4" s="1"/>
  <c r="AM64" i="2"/>
  <c r="J62" i="4" s="1"/>
  <c r="AB63" i="2"/>
  <c r="AN64" i="2"/>
  <c r="K62" i="4" s="1"/>
  <c r="AL70" i="2"/>
  <c r="I68" i="4" s="1"/>
  <c r="AN69" i="2"/>
  <c r="K67" i="4" s="1"/>
  <c r="AE69" i="2"/>
  <c r="AK70" i="2"/>
  <c r="H68" i="4" s="1"/>
  <c r="AM69" i="2"/>
  <c r="J67" i="4" s="1"/>
  <c r="AM70" i="2"/>
  <c r="AB69" i="2"/>
  <c r="AN70" i="2"/>
  <c r="K68" i="4" s="1"/>
  <c r="AL76" i="2"/>
  <c r="I74" i="4" s="1"/>
  <c r="AN75" i="2"/>
  <c r="K73" i="4" s="1"/>
  <c r="AE75" i="2"/>
  <c r="AK76" i="2"/>
  <c r="H74" i="4" s="1"/>
  <c r="AM75" i="2"/>
  <c r="J73" i="4" s="1"/>
  <c r="AM76" i="2"/>
  <c r="J74" i="4" s="1"/>
  <c r="AB75" i="2"/>
  <c r="AN76" i="2"/>
  <c r="K74" i="4" s="1"/>
  <c r="AL82" i="2"/>
  <c r="I80" i="4" s="1"/>
  <c r="AN81" i="2"/>
  <c r="K79" i="4" s="1"/>
  <c r="AE81" i="2"/>
  <c r="AK82" i="2"/>
  <c r="H80" i="4" s="1"/>
  <c r="AM81" i="2"/>
  <c r="J79" i="4" s="1"/>
  <c r="AM82" i="2"/>
  <c r="J80" i="4" s="1"/>
  <c r="AB81" i="2"/>
  <c r="AN82" i="2"/>
  <c r="K80" i="4" s="1"/>
  <c r="AL88" i="2"/>
  <c r="I86" i="4" s="1"/>
  <c r="AN87" i="2"/>
  <c r="K85" i="4" s="1"/>
  <c r="AE87" i="2"/>
  <c r="AK88" i="2"/>
  <c r="H86" i="4" s="1"/>
  <c r="AM87" i="2"/>
  <c r="J85" i="4" s="1"/>
  <c r="AM88" i="2"/>
  <c r="J86" i="4" s="1"/>
  <c r="AB87" i="2"/>
  <c r="AN88" i="2"/>
  <c r="K86" i="4" s="1"/>
  <c r="F72" i="4"/>
  <c r="G89" i="12" s="1"/>
  <c r="AQ3" i="2"/>
  <c r="AK3" i="2"/>
  <c r="AL3" i="2" s="1"/>
  <c r="AL46" i="2"/>
  <c r="AN45" i="2"/>
  <c r="AK46" i="2"/>
  <c r="AM45" i="2"/>
  <c r="AN46" i="2"/>
  <c r="AM46" i="2"/>
  <c r="AE33" i="2"/>
  <c r="AE45" i="2"/>
  <c r="AM37" i="2"/>
  <c r="AK37" i="2"/>
  <c r="AN37" i="2"/>
  <c r="AL37" i="2"/>
  <c r="AE36" i="2"/>
  <c r="AN36" i="2"/>
  <c r="AM36" i="2"/>
  <c r="AK43" i="2"/>
  <c r="AM42" i="2"/>
  <c r="AL43" i="2"/>
  <c r="AN42" i="2"/>
  <c r="AN43" i="2"/>
  <c r="AM43" i="2"/>
  <c r="AK49" i="2"/>
  <c r="AM48" i="2"/>
  <c r="AL49" i="2"/>
  <c r="AN48" i="2"/>
  <c r="AE48" i="2"/>
  <c r="AN49" i="2"/>
  <c r="AM49" i="2"/>
  <c r="AP20" i="2"/>
  <c r="AN33" i="2"/>
  <c r="AM33" i="2"/>
  <c r="AN34" i="2"/>
  <c r="AK34" i="2"/>
  <c r="AL34" i="2"/>
  <c r="AM34" i="2"/>
  <c r="AN40" i="2"/>
  <c r="AL40" i="2"/>
  <c r="AE39" i="2"/>
  <c r="AM40" i="2"/>
  <c r="AK40" i="2"/>
  <c r="AN39" i="2"/>
  <c r="AM39" i="2"/>
  <c r="AP15" i="2"/>
  <c r="AP17" i="2"/>
  <c r="AP23" i="2"/>
  <c r="AF19" i="2"/>
  <c r="AJ19" i="2" s="1"/>
  <c r="AF16" i="2"/>
  <c r="AH16" i="2"/>
  <c r="AB48" i="2"/>
  <c r="AG48" i="2" s="1"/>
  <c r="AB39" i="2"/>
  <c r="AB36" i="2"/>
  <c r="AB42" i="2"/>
  <c r="AB33" i="2"/>
  <c r="AB45" i="2"/>
  <c r="AO49" i="2"/>
  <c r="AO61" i="2"/>
  <c r="L59" i="4" s="1"/>
  <c r="L76" i="12" s="1"/>
  <c r="E72" i="6"/>
  <c r="J70" i="4"/>
  <c r="K82" i="4"/>
  <c r="AB52" i="2"/>
  <c r="E63" i="6"/>
  <c r="E78" i="6"/>
  <c r="AB58" i="2"/>
  <c r="K58" i="6" s="1"/>
  <c r="E81" i="6"/>
  <c r="AP21" i="2"/>
  <c r="AH19" i="2"/>
  <c r="AA86" i="2"/>
  <c r="AA77" i="2"/>
  <c r="B75" i="4" s="1"/>
  <c r="C92" i="12" s="1"/>
  <c r="AH22" i="2"/>
  <c r="AP16" i="7" s="1"/>
  <c r="AQ16" i="7" s="1"/>
  <c r="AH25" i="2"/>
  <c r="AP17" i="7" s="1"/>
  <c r="AQ17" i="7" s="1"/>
  <c r="M67" i="6"/>
  <c r="AP19" i="2"/>
  <c r="AP22" i="2"/>
  <c r="AP16" i="2"/>
  <c r="AP24" i="2"/>
  <c r="AP25" i="2"/>
  <c r="M88" i="6"/>
  <c r="G57" i="6"/>
  <c r="H59" i="6" s="1"/>
  <c r="Y51" i="2"/>
  <c r="AA69" i="2"/>
  <c r="AA81" i="2"/>
  <c r="AC81" i="2" s="1"/>
  <c r="AA57" i="2"/>
  <c r="G42" i="4"/>
  <c r="N59" i="12" s="1"/>
  <c r="G47" i="4"/>
  <c r="AQ49" i="2"/>
  <c r="G51" i="4"/>
  <c r="N68" i="12" s="1"/>
  <c r="AQ53" i="2"/>
  <c r="G55" i="4"/>
  <c r="AQ57" i="2"/>
  <c r="G59" i="4"/>
  <c r="AQ61" i="2"/>
  <c r="G63" i="4"/>
  <c r="N80" i="12" s="1"/>
  <c r="AQ65" i="2"/>
  <c r="M69" i="6"/>
  <c r="AQ69" i="2"/>
  <c r="M73" i="6"/>
  <c r="AQ73" i="2"/>
  <c r="G75" i="4"/>
  <c r="N92" i="12" s="1"/>
  <c r="AQ77" i="2"/>
  <c r="M81" i="6"/>
  <c r="AQ81" i="2"/>
  <c r="E75" i="6"/>
  <c r="G43" i="4"/>
  <c r="AQ45" i="2"/>
  <c r="G48" i="4"/>
  <c r="N65" i="12" s="1"/>
  <c r="G56" i="4"/>
  <c r="AQ58" i="2"/>
  <c r="G60" i="4"/>
  <c r="N77" i="12" s="1"/>
  <c r="AQ62" i="2"/>
  <c r="G64" i="4"/>
  <c r="AQ66" i="2"/>
  <c r="G68" i="4"/>
  <c r="AQ70" i="2"/>
  <c r="M74" i="6"/>
  <c r="AQ74" i="2"/>
  <c r="G80" i="4"/>
  <c r="AQ82" i="2"/>
  <c r="M86" i="6"/>
  <c r="AQ86" i="2"/>
  <c r="G88" i="4"/>
  <c r="G45" i="4"/>
  <c r="N62" i="12" s="1"/>
  <c r="AQ47" i="2"/>
  <c r="Y65" i="2"/>
  <c r="G44" i="4"/>
  <c r="AQ46" i="2"/>
  <c r="G49" i="4"/>
  <c r="AQ51" i="2"/>
  <c r="G53" i="4"/>
  <c r="AQ55" i="2"/>
  <c r="G57" i="4"/>
  <c r="N74" i="12" s="1"/>
  <c r="AQ59" i="2"/>
  <c r="G61" i="4"/>
  <c r="AQ63" i="2"/>
  <c r="M71" i="6"/>
  <c r="AQ71" i="2"/>
  <c r="M75" i="6"/>
  <c r="AQ75" i="2"/>
  <c r="Y57" i="2"/>
  <c r="F55" i="4" s="1"/>
  <c r="AO63" i="2"/>
  <c r="L61" i="4" s="1"/>
  <c r="L78" i="12" s="1"/>
  <c r="AA83" i="2"/>
  <c r="Y92" i="2"/>
  <c r="G73" i="4"/>
  <c r="G87" i="6"/>
  <c r="H89" i="6" s="1"/>
  <c r="G46" i="4"/>
  <c r="AQ48" i="2"/>
  <c r="G50" i="4"/>
  <c r="AQ52" i="2"/>
  <c r="G54" i="4"/>
  <c r="N71" i="12" s="1"/>
  <c r="AQ56" i="2"/>
  <c r="M60" i="6"/>
  <c r="AQ60" i="2"/>
  <c r="G62" i="4"/>
  <c r="AQ64" i="2"/>
  <c r="M68" i="6"/>
  <c r="AQ68" i="2"/>
  <c r="M72" i="6"/>
  <c r="AQ72" i="2"/>
  <c r="M84" i="6"/>
  <c r="AQ84" i="2"/>
  <c r="M92" i="6"/>
  <c r="L72" i="6"/>
  <c r="D57" i="6"/>
  <c r="F69" i="6"/>
  <c r="H70" i="6" s="1"/>
  <c r="Y48" i="2"/>
  <c r="Y86" i="2"/>
  <c r="AB49" i="2"/>
  <c r="Y54" i="2"/>
  <c r="Y62" i="2"/>
  <c r="F81" i="6"/>
  <c r="H82" i="6" s="1"/>
  <c r="B72" i="6"/>
  <c r="Y72" i="2"/>
  <c r="F70" i="4" s="1"/>
  <c r="F57" i="6"/>
  <c r="H58" i="6" s="1"/>
  <c r="D69" i="6"/>
  <c r="D75" i="6"/>
  <c r="M58" i="6"/>
  <c r="G58" i="4"/>
  <c r="G90" i="4"/>
  <c r="N107" i="12" s="1"/>
  <c r="M82" i="6"/>
  <c r="M77" i="6"/>
  <c r="G72" i="4"/>
  <c r="N89" i="12" s="1"/>
  <c r="G70" i="4"/>
  <c r="M70" i="6"/>
  <c r="G66" i="4"/>
  <c r="N83" i="12" s="1"/>
  <c r="M61" i="6"/>
  <c r="M62" i="6"/>
  <c r="M59" i="6"/>
  <c r="M57" i="6"/>
  <c r="M83" i="6"/>
  <c r="G81" i="4"/>
  <c r="N98" i="12" s="1"/>
  <c r="M85" i="6"/>
  <c r="G83" i="4"/>
  <c r="B64" i="4"/>
  <c r="C81" i="12" s="1"/>
  <c r="J66" i="6"/>
  <c r="B90" i="6"/>
  <c r="D88" i="4"/>
  <c r="E105" i="12" s="1"/>
  <c r="L90" i="6"/>
  <c r="AO55" i="2"/>
  <c r="AB55" i="2"/>
  <c r="AA56" i="2"/>
  <c r="F90" i="6"/>
  <c r="H91" i="6" s="1"/>
  <c r="Y80" i="2"/>
  <c r="G78" i="6"/>
  <c r="H80" i="6" s="1"/>
  <c r="M66" i="6"/>
  <c r="AA80" i="2"/>
  <c r="G87" i="4"/>
  <c r="N104" i="12" s="1"/>
  <c r="M89" i="6"/>
  <c r="B70" i="4"/>
  <c r="C87" i="12" s="1"/>
  <c r="J72" i="6"/>
  <c r="AH60" i="2"/>
  <c r="D60" i="6"/>
  <c r="G71" i="4"/>
  <c r="G65" i="4"/>
  <c r="M63" i="6"/>
  <c r="B66" i="6"/>
  <c r="F72" i="6"/>
  <c r="H73" i="6" s="1"/>
  <c r="D90" i="6"/>
  <c r="M76" i="6"/>
  <c r="G74" i="4"/>
  <c r="M78" i="6"/>
  <c r="G76" i="4"/>
  <c r="AA78" i="2"/>
  <c r="AC78" i="2" s="1"/>
  <c r="B78" i="6"/>
  <c r="D66" i="6"/>
  <c r="D78" i="6"/>
  <c r="E66" i="6"/>
  <c r="AO66" i="2"/>
  <c r="L64" i="4" s="1"/>
  <c r="L81" i="12" s="1"/>
  <c r="Y79" i="2"/>
  <c r="F77" i="4" s="1"/>
  <c r="F88" i="4" s="1"/>
  <c r="F78" i="6"/>
  <c r="H79" i="6" s="1"/>
  <c r="Y68" i="2"/>
  <c r="G66" i="6"/>
  <c r="H68" i="6" s="1"/>
  <c r="AB68" i="2"/>
  <c r="M65" i="6"/>
  <c r="M80" i="6"/>
  <c r="G78" i="4"/>
  <c r="N95" i="12" s="1"/>
  <c r="M91" i="6"/>
  <c r="G89" i="4"/>
  <c r="J60" i="6"/>
  <c r="B58" i="4"/>
  <c r="C75" i="12" s="1"/>
  <c r="B84" i="6"/>
  <c r="AA84" i="2"/>
  <c r="AC84" i="2" s="1"/>
  <c r="D82" i="4" s="1"/>
  <c r="E99" i="12" s="1"/>
  <c r="AB61" i="2"/>
  <c r="E60" i="6"/>
  <c r="E84" i="6"/>
  <c r="Y60" i="2"/>
  <c r="F58" i="4" s="1"/>
  <c r="F60" i="6"/>
  <c r="Y85" i="2"/>
  <c r="F83" i="4" s="1"/>
  <c r="F84" i="6"/>
  <c r="G84" i="4"/>
  <c r="N101" i="12" s="1"/>
  <c r="AA50" i="2"/>
  <c r="AB67" i="2"/>
  <c r="Y78" i="2"/>
  <c r="F76" i="4" s="1"/>
  <c r="G85" i="4"/>
  <c r="M87" i="6"/>
  <c r="J89" i="4"/>
  <c r="AA63" i="2"/>
  <c r="B63" i="6"/>
  <c r="AA75" i="2"/>
  <c r="B75" i="6"/>
  <c r="AA87" i="2"/>
  <c r="AC87" i="2" s="1"/>
  <c r="B87" i="6"/>
  <c r="D87" i="6"/>
  <c r="E87" i="6"/>
  <c r="AA89" i="2"/>
  <c r="Y64" i="2"/>
  <c r="F62" i="4" s="1"/>
  <c r="F63" i="6"/>
  <c r="H64" i="6" s="1"/>
  <c r="Y63" i="2"/>
  <c r="F61" i="4" s="1"/>
  <c r="Y75" i="2"/>
  <c r="F73" i="4" s="1"/>
  <c r="F75" i="6"/>
  <c r="Y87" i="2"/>
  <c r="F85" i="4" s="1"/>
  <c r="F87" i="6"/>
  <c r="Y77" i="2"/>
  <c r="G75" i="6"/>
  <c r="H77" i="6" s="1"/>
  <c r="F87" i="4"/>
  <c r="G104" i="12" s="1"/>
  <c r="M104" i="12" s="1"/>
  <c r="G79" i="4"/>
  <c r="G69" i="4"/>
  <c r="N86" i="12" s="1"/>
  <c r="G67" i="4"/>
  <c r="G86" i="4"/>
  <c r="G82" i="4"/>
  <c r="B60" i="6"/>
  <c r="D63" i="6"/>
  <c r="M64" i="6"/>
  <c r="F66" i="6"/>
  <c r="G72" i="6"/>
  <c r="H74" i="6" s="1"/>
  <c r="D81" i="6"/>
  <c r="AA59" i="2"/>
  <c r="E57" i="6"/>
  <c r="AA70" i="2"/>
  <c r="AC70" i="2" s="1"/>
  <c r="Y71" i="2"/>
  <c r="G69" i="6"/>
  <c r="H71" i="6" s="1"/>
  <c r="F57" i="4"/>
  <c r="G74" i="12" s="1"/>
  <c r="M74" i="12" s="1"/>
  <c r="F81" i="4"/>
  <c r="G98" i="12" s="1"/>
  <c r="E69" i="6"/>
  <c r="AA92" i="2"/>
  <c r="Y84" i="2"/>
  <c r="F82" i="4" s="1"/>
  <c r="Y82" i="2"/>
  <c r="F80" i="4" s="1"/>
  <c r="Y91" i="2"/>
  <c r="F89" i="4" s="1"/>
  <c r="Y88" i="2"/>
  <c r="F86" i="4" s="1"/>
  <c r="Y70" i="2"/>
  <c r="F68" i="4" s="1"/>
  <c r="Y66" i="2"/>
  <c r="F64" i="4" s="1"/>
  <c r="Y61" i="2"/>
  <c r="F59" i="4" s="1"/>
  <c r="K89" i="4"/>
  <c r="AB71" i="2"/>
  <c r="AI66" i="2"/>
  <c r="AD31" i="7" s="1"/>
  <c r="AJ31" i="7" s="1"/>
  <c r="AA67" i="2"/>
  <c r="AC67" i="2" s="1"/>
  <c r="AB64" i="2"/>
  <c r="AB65" i="2"/>
  <c r="AB62" i="2"/>
  <c r="AO58" i="2"/>
  <c r="L56" i="4" s="1"/>
  <c r="L73" i="12" s="1"/>
  <c r="AO52" i="2"/>
  <c r="AA53" i="2"/>
  <c r="AH66" i="2"/>
  <c r="AA85" i="2"/>
  <c r="AC85" i="2" s="1"/>
  <c r="AO85" i="2"/>
  <c r="L83" i="4" s="1"/>
  <c r="L100" i="12" s="1"/>
  <c r="AB86" i="2"/>
  <c r="AH87" i="2"/>
  <c r="AA88" i="2"/>
  <c r="AC88" i="2" s="1"/>
  <c r="AO88" i="2"/>
  <c r="L86" i="4" s="1"/>
  <c r="L103" i="12" s="1"/>
  <c r="AB89" i="2"/>
  <c r="AA91" i="2"/>
  <c r="H89" i="4"/>
  <c r="AO91" i="2"/>
  <c r="L89" i="4" s="1"/>
  <c r="L106" i="12" s="1"/>
  <c r="AB92" i="2"/>
  <c r="K92" i="6" s="1"/>
  <c r="AI84" i="2"/>
  <c r="AD37" i="7" s="1"/>
  <c r="AJ37" i="7" s="1"/>
  <c r="AO84" i="2"/>
  <c r="L82" i="4" s="1"/>
  <c r="L99" i="12" s="1"/>
  <c r="AB85" i="2"/>
  <c r="AI87" i="2"/>
  <c r="AD38" i="7" s="1"/>
  <c r="AJ38" i="7" s="1"/>
  <c r="AO87" i="2"/>
  <c r="L85" i="4" s="1"/>
  <c r="L102" i="12" s="1"/>
  <c r="AB88" i="2"/>
  <c r="AB91" i="2"/>
  <c r="I89" i="4"/>
  <c r="AH88" i="2"/>
  <c r="AA76" i="2"/>
  <c r="AC76" i="2" s="1"/>
  <c r="AB77" i="2"/>
  <c r="AO79" i="2"/>
  <c r="L77" i="4" s="1"/>
  <c r="L94" i="12" s="1"/>
  <c r="AO82" i="2"/>
  <c r="L80" i="4" s="1"/>
  <c r="L97" i="12" s="1"/>
  <c r="AO75" i="2"/>
  <c r="L73" i="4" s="1"/>
  <c r="L90" i="12" s="1"/>
  <c r="AI78" i="2"/>
  <c r="AD35" i="7" s="1"/>
  <c r="AJ35" i="7" s="1"/>
  <c r="AO78" i="2"/>
  <c r="L76" i="4" s="1"/>
  <c r="L93" i="12" s="1"/>
  <c r="AB79" i="2"/>
  <c r="K90" i="6" s="1"/>
  <c r="AO81" i="2"/>
  <c r="L79" i="4" s="1"/>
  <c r="L96" i="12" s="1"/>
  <c r="J77" i="4"/>
  <c r="J88" i="4" s="1"/>
  <c r="AO76" i="2"/>
  <c r="L74" i="4" s="1"/>
  <c r="L91" i="12" s="1"/>
  <c r="AA79" i="2"/>
  <c r="AC79" i="2" s="1"/>
  <c r="H77" i="4"/>
  <c r="AB80" i="2"/>
  <c r="AA82" i="2"/>
  <c r="AC82" i="2" s="1"/>
  <c r="AB83" i="2"/>
  <c r="AI75" i="2"/>
  <c r="AD34" i="7" s="1"/>
  <c r="AJ34" i="7" s="1"/>
  <c r="AB76" i="2"/>
  <c r="AI81" i="2"/>
  <c r="AD36" i="7" s="1"/>
  <c r="AJ36" i="7" s="1"/>
  <c r="AB82" i="2"/>
  <c r="AF82" i="2" s="1"/>
  <c r="AA74" i="2"/>
  <c r="Z33" i="7" s="1"/>
  <c r="AA33" i="7" s="1"/>
  <c r="AB73" i="2"/>
  <c r="AO72" i="2"/>
  <c r="L70" i="4" s="1"/>
  <c r="L87" i="12" s="1"/>
  <c r="AI72" i="2"/>
  <c r="AD33" i="7" s="1"/>
  <c r="AJ33" i="7" s="1"/>
  <c r="AH48" i="2"/>
  <c r="AO48" i="2"/>
  <c r="AH51" i="2"/>
  <c r="AO51" i="2"/>
  <c r="AH54" i="2"/>
  <c r="AO54" i="2"/>
  <c r="AO57" i="2"/>
  <c r="L55" i="4" s="1"/>
  <c r="L72" i="12" s="1"/>
  <c r="AO60" i="2"/>
  <c r="L58" i="4" s="1"/>
  <c r="L75" i="12" s="1"/>
  <c r="AA65" i="2"/>
  <c r="AO64" i="2"/>
  <c r="L62" i="4" s="1"/>
  <c r="L79" i="12" s="1"/>
  <c r="AB70" i="2"/>
  <c r="AO70" i="2"/>
  <c r="L68" i="4" s="1"/>
  <c r="L85" i="12" s="1"/>
  <c r="AA73" i="2"/>
  <c r="AO73" i="2"/>
  <c r="L71" i="4" s="1"/>
  <c r="L88" i="12" s="1"/>
  <c r="AI48" i="2"/>
  <c r="AD25" i="7" s="1"/>
  <c r="AJ25" i="7" s="1"/>
  <c r="AI51" i="2"/>
  <c r="AD26" i="7" s="1"/>
  <c r="AJ26" i="7" s="1"/>
  <c r="AI54" i="2"/>
  <c r="AD27" i="7" s="1"/>
  <c r="AJ27" i="7" s="1"/>
  <c r="AI57" i="2"/>
  <c r="AD28" i="7" s="1"/>
  <c r="AJ28" i="7" s="1"/>
  <c r="AI60" i="2"/>
  <c r="AD29" i="7" s="1"/>
  <c r="AJ29" i="7" s="1"/>
  <c r="AI63" i="2"/>
  <c r="AD30" i="7" s="1"/>
  <c r="AJ30" i="7" s="1"/>
  <c r="AA64" i="2"/>
  <c r="AA68" i="2"/>
  <c r="AO67" i="2"/>
  <c r="L65" i="4" s="1"/>
  <c r="L82" i="12" s="1"/>
  <c r="AO69" i="2"/>
  <c r="L67" i="4" s="1"/>
  <c r="L84" i="12" s="1"/>
  <c r="AB74" i="2"/>
  <c r="AA49" i="2"/>
  <c r="AB50" i="2"/>
  <c r="AA52" i="2"/>
  <c r="AC52" i="2" s="1"/>
  <c r="AB53" i="2"/>
  <c r="AA55" i="2"/>
  <c r="AC55" i="2" s="1"/>
  <c r="AB56" i="2"/>
  <c r="J56" i="4"/>
  <c r="AA58" i="2"/>
  <c r="AC58" i="2" s="1"/>
  <c r="AB59" i="2"/>
  <c r="AA62" i="2"/>
  <c r="J58" i="4"/>
  <c r="AA61" i="2"/>
  <c r="AA71" i="2"/>
  <c r="J68" i="4"/>
  <c r="H6" i="4"/>
  <c r="I6" i="4"/>
  <c r="J6" i="4"/>
  <c r="K6" i="4"/>
  <c r="L6" i="4"/>
  <c r="H7" i="4"/>
  <c r="I7" i="4"/>
  <c r="H9" i="4"/>
  <c r="I9" i="4"/>
  <c r="J9" i="4"/>
  <c r="K9" i="4"/>
  <c r="L9" i="4"/>
  <c r="H10" i="4"/>
  <c r="I10" i="4"/>
  <c r="H12" i="4"/>
  <c r="I12" i="4"/>
  <c r="J12" i="4"/>
  <c r="K12" i="4"/>
  <c r="L12" i="4"/>
  <c r="H13" i="4"/>
  <c r="I13" i="4"/>
  <c r="H15" i="4"/>
  <c r="I15" i="4"/>
  <c r="J15" i="4"/>
  <c r="K15" i="4"/>
  <c r="L15" i="4"/>
  <c r="H16" i="4"/>
  <c r="I16" i="4"/>
  <c r="H18" i="4"/>
  <c r="I18" i="4"/>
  <c r="J18" i="4"/>
  <c r="K18" i="4"/>
  <c r="L18" i="4"/>
  <c r="H19" i="4"/>
  <c r="I19" i="4"/>
  <c r="H21" i="4"/>
  <c r="I21" i="4"/>
  <c r="J21" i="4"/>
  <c r="K21" i="4"/>
  <c r="L21" i="4"/>
  <c r="H22" i="4"/>
  <c r="I22" i="4"/>
  <c r="H24" i="4"/>
  <c r="I24" i="4"/>
  <c r="J24" i="4"/>
  <c r="K24" i="4"/>
  <c r="L24" i="4"/>
  <c r="H25" i="4"/>
  <c r="I25" i="4"/>
  <c r="H27" i="4"/>
  <c r="I27" i="4"/>
  <c r="J27" i="4"/>
  <c r="K27" i="4"/>
  <c r="L27" i="4"/>
  <c r="H28" i="4"/>
  <c r="I28" i="4"/>
  <c r="H30" i="4"/>
  <c r="I30" i="4"/>
  <c r="J30" i="4"/>
  <c r="K30" i="4"/>
  <c r="L30" i="4"/>
  <c r="H31" i="4"/>
  <c r="I31" i="4"/>
  <c r="H33" i="4"/>
  <c r="I33" i="4"/>
  <c r="J33" i="4"/>
  <c r="K33" i="4"/>
  <c r="L33" i="4"/>
  <c r="H34" i="4"/>
  <c r="I34" i="4"/>
  <c r="H36" i="4"/>
  <c r="I36" i="4"/>
  <c r="J36" i="4"/>
  <c r="K36" i="4"/>
  <c r="L36" i="4"/>
  <c r="H37" i="4"/>
  <c r="I37" i="4"/>
  <c r="H39" i="4"/>
  <c r="I39" i="4"/>
  <c r="J39" i="4"/>
  <c r="K39" i="4"/>
  <c r="L39" i="4"/>
  <c r="H40" i="4"/>
  <c r="I40" i="4"/>
  <c r="H42" i="4"/>
  <c r="I42" i="4"/>
  <c r="J42" i="4"/>
  <c r="K42" i="4"/>
  <c r="L42" i="4"/>
  <c r="H43" i="4"/>
  <c r="I43" i="4"/>
  <c r="H45" i="4"/>
  <c r="I45" i="4"/>
  <c r="J45" i="4"/>
  <c r="K45" i="4"/>
  <c r="L45" i="4"/>
  <c r="H46" i="4"/>
  <c r="I46" i="4"/>
  <c r="H48" i="4"/>
  <c r="I48" i="4"/>
  <c r="J48" i="4"/>
  <c r="K48" i="4"/>
  <c r="L48" i="4"/>
  <c r="H49" i="4"/>
  <c r="I49" i="4"/>
  <c r="H51" i="4"/>
  <c r="I51" i="4"/>
  <c r="J51" i="4"/>
  <c r="K51" i="4"/>
  <c r="L51" i="4"/>
  <c r="H52" i="4"/>
  <c r="I52" i="4"/>
  <c r="H54" i="4"/>
  <c r="I54" i="4"/>
  <c r="J54" i="4"/>
  <c r="K54" i="4"/>
  <c r="L54" i="4"/>
  <c r="AF66" i="2" l="1"/>
  <c r="X34" i="7"/>
  <c r="Y34" i="7" s="1"/>
  <c r="M98" i="12"/>
  <c r="Z37" i="7"/>
  <c r="AA37" i="7" s="1"/>
  <c r="AP51" i="2"/>
  <c r="AL16" i="7"/>
  <c r="AM16" i="7" s="1"/>
  <c r="AG74" i="2"/>
  <c r="AG83" i="2"/>
  <c r="AG89" i="2"/>
  <c r="AC91" i="2"/>
  <c r="D89" i="4" s="1"/>
  <c r="E106" i="12" s="1"/>
  <c r="AF91" i="2"/>
  <c r="AG91" i="2"/>
  <c r="AG77" i="2"/>
  <c r="AH78" i="2"/>
  <c r="AG88" i="2"/>
  <c r="AG71" i="2"/>
  <c r="AG80" i="2"/>
  <c r="AG86" i="2"/>
  <c r="AG92" i="2"/>
  <c r="M89" i="12"/>
  <c r="AF88" i="2"/>
  <c r="AJ88" i="2" s="1"/>
  <c r="AF85" i="2"/>
  <c r="AG85" i="2"/>
  <c r="AP48" i="2"/>
  <c r="X39" i="7"/>
  <c r="Y39" i="7" s="1"/>
  <c r="AF81" i="2"/>
  <c r="AF78" i="2"/>
  <c r="AF54" i="2"/>
  <c r="AJ54" i="2" s="1"/>
  <c r="AF87" i="2"/>
  <c r="AN38" i="7" s="1"/>
  <c r="AF51" i="2"/>
  <c r="AF84" i="2"/>
  <c r="AF48" i="2"/>
  <c r="AJ48" i="2" s="1"/>
  <c r="AF18" i="2"/>
  <c r="AJ18" i="2" s="1"/>
  <c r="N103" i="12"/>
  <c r="M103" i="12"/>
  <c r="N106" i="12"/>
  <c r="M106" i="12"/>
  <c r="N88" i="12"/>
  <c r="M88" i="12"/>
  <c r="N100" i="12"/>
  <c r="M100" i="12"/>
  <c r="N87" i="12"/>
  <c r="M87" i="12"/>
  <c r="N60" i="12"/>
  <c r="M60" i="12"/>
  <c r="N99" i="12"/>
  <c r="M99" i="12"/>
  <c r="N84" i="12"/>
  <c r="M84" i="12"/>
  <c r="N96" i="12"/>
  <c r="M96" i="12"/>
  <c r="N102" i="12"/>
  <c r="M102" i="12"/>
  <c r="N93" i="12"/>
  <c r="M93" i="12"/>
  <c r="N91" i="12"/>
  <c r="M91" i="12"/>
  <c r="N82" i="12"/>
  <c r="M82" i="12"/>
  <c r="N75" i="12"/>
  <c r="M75" i="12"/>
  <c r="N79" i="12"/>
  <c r="M79" i="12"/>
  <c r="N67" i="12"/>
  <c r="M67" i="12"/>
  <c r="N63" i="12"/>
  <c r="M63" i="12"/>
  <c r="N90" i="12"/>
  <c r="M90" i="12"/>
  <c r="N78" i="12"/>
  <c r="M78" i="12"/>
  <c r="N70" i="12"/>
  <c r="M70" i="12"/>
  <c r="N66" i="12"/>
  <c r="M66" i="12"/>
  <c r="N61" i="12"/>
  <c r="M61" i="12"/>
  <c r="N105" i="12"/>
  <c r="M105" i="12"/>
  <c r="N97" i="12"/>
  <c r="M97" i="12"/>
  <c r="N85" i="12"/>
  <c r="M85" i="12"/>
  <c r="N81" i="12"/>
  <c r="M81" i="12"/>
  <c r="N73" i="12"/>
  <c r="M73" i="12"/>
  <c r="N76" i="12"/>
  <c r="M76" i="12"/>
  <c r="N72" i="12"/>
  <c r="M72" i="12"/>
  <c r="N64" i="12"/>
  <c r="M64" i="12"/>
  <c r="L88" i="4"/>
  <c r="AQ79" i="2"/>
  <c r="X32" i="7"/>
  <c r="Y32" i="7" s="1"/>
  <c r="X30" i="7"/>
  <c r="Y30" i="7" s="1"/>
  <c r="AK14" i="7"/>
  <c r="AK17" i="7"/>
  <c r="AG18" i="2"/>
  <c r="AL15" i="7" s="1"/>
  <c r="AM15" i="7" s="1"/>
  <c r="AC75" i="2"/>
  <c r="AF75" i="2" s="1"/>
  <c r="AC73" i="2"/>
  <c r="L73" i="6" s="1"/>
  <c r="AC69" i="2"/>
  <c r="AF69" i="2" s="1"/>
  <c r="AJ69" i="2" s="1"/>
  <c r="AH18" i="2"/>
  <c r="AP15" i="7" s="1"/>
  <c r="AQ15" i="7" s="1"/>
  <c r="AC49" i="2"/>
  <c r="AG49" i="2" s="1"/>
  <c r="AC64" i="2"/>
  <c r="AG64" i="2" s="1"/>
  <c r="AC63" i="2"/>
  <c r="AG63" i="2" s="1"/>
  <c r="AC61" i="2"/>
  <c r="D59" i="4" s="1"/>
  <c r="E76" i="12" s="1"/>
  <c r="AC57" i="2"/>
  <c r="D55" i="4" s="1"/>
  <c r="E72" i="12" s="1"/>
  <c r="AK16" i="7"/>
  <c r="AJ51" i="2"/>
  <c r="AK15" i="7"/>
  <c r="AN14" i="7"/>
  <c r="AO14" i="7" s="1"/>
  <c r="AG68" i="2"/>
  <c r="X37" i="7"/>
  <c r="Y37" i="7" s="1"/>
  <c r="X33" i="7"/>
  <c r="Y33" i="7" s="1"/>
  <c r="X36" i="7"/>
  <c r="Y36" i="7" s="1"/>
  <c r="X35" i="7"/>
  <c r="Y35" i="7" s="1"/>
  <c r="X38" i="7"/>
  <c r="Y38" i="7" s="1"/>
  <c r="AG50" i="2"/>
  <c r="V17" i="7"/>
  <c r="W17" i="7" s="1"/>
  <c r="AG52" i="2"/>
  <c r="X31" i="7"/>
  <c r="Y31" i="7" s="1"/>
  <c r="X29" i="7"/>
  <c r="Y29" i="7" s="1"/>
  <c r="X28" i="7"/>
  <c r="Y28" i="7" s="1"/>
  <c r="AG59" i="2"/>
  <c r="X26" i="7"/>
  <c r="Y26" i="7" s="1"/>
  <c r="X25" i="7"/>
  <c r="Y25" i="7" s="1"/>
  <c r="X27" i="7"/>
  <c r="Y27" i="7" s="1"/>
  <c r="AG62" i="2"/>
  <c r="AG65" i="2"/>
  <c r="AG56" i="2"/>
  <c r="AG53" i="2"/>
  <c r="AE27" i="7"/>
  <c r="AR27" i="7"/>
  <c r="AS27" i="7" s="1"/>
  <c r="AE29" i="7"/>
  <c r="AR29" i="7"/>
  <c r="AS29" i="7" s="1"/>
  <c r="AE28" i="7"/>
  <c r="AR28" i="7"/>
  <c r="AS28" i="7" s="1"/>
  <c r="AE38" i="7"/>
  <c r="AR38" i="7"/>
  <c r="AS38" i="7" s="1"/>
  <c r="AP38" i="7"/>
  <c r="AQ38" i="7" s="1"/>
  <c r="AE37" i="7"/>
  <c r="AR37" i="7"/>
  <c r="AS37" i="7" s="1"/>
  <c r="AE36" i="7"/>
  <c r="AR36" i="7"/>
  <c r="AS36" i="7" s="1"/>
  <c r="AE35" i="7"/>
  <c r="AR35" i="7"/>
  <c r="AS35" i="7" s="1"/>
  <c r="AE34" i="7"/>
  <c r="AR34" i="7"/>
  <c r="AS34" i="7" s="1"/>
  <c r="AE33" i="7"/>
  <c r="AR33" i="7"/>
  <c r="AS33" i="7" s="1"/>
  <c r="AE32" i="7"/>
  <c r="AR32" i="7"/>
  <c r="AS32" i="7" s="1"/>
  <c r="AE31" i="7"/>
  <c r="AR31" i="7"/>
  <c r="AS31" i="7" s="1"/>
  <c r="AE30" i="7"/>
  <c r="AR30" i="7"/>
  <c r="AS30" i="7" s="1"/>
  <c r="AE26" i="7"/>
  <c r="AR26" i="7"/>
  <c r="AS26" i="7" s="1"/>
  <c r="AE25" i="7"/>
  <c r="AR25" i="7"/>
  <c r="AS25" i="7" s="1"/>
  <c r="V16" i="7"/>
  <c r="W16" i="7" s="1"/>
  <c r="V15" i="7"/>
  <c r="W15" i="7" s="1"/>
  <c r="V14" i="7"/>
  <c r="W14" i="7" s="1"/>
  <c r="AP14" i="7"/>
  <c r="AQ14" i="7" s="1"/>
  <c r="AG58" i="2"/>
  <c r="AG55" i="2"/>
  <c r="AG82" i="2"/>
  <c r="AG76" i="2"/>
  <c r="AG87" i="2"/>
  <c r="AL38" i="7" s="1"/>
  <c r="AM38" i="7" s="1"/>
  <c r="AG84" i="2"/>
  <c r="AG78" i="2"/>
  <c r="AG81" i="2"/>
  <c r="AL14" i="7"/>
  <c r="AM14" i="7" s="1"/>
  <c r="AG67" i="2"/>
  <c r="AG70" i="2"/>
  <c r="AG72" i="2"/>
  <c r="AG66" i="2"/>
  <c r="AG60" i="2"/>
  <c r="AN16" i="7"/>
  <c r="AN17" i="7"/>
  <c r="AF76" i="2"/>
  <c r="AJ76" i="2" s="1"/>
  <c r="C56" i="4"/>
  <c r="D73" i="12" s="1"/>
  <c r="Z29" i="7"/>
  <c r="AA29" i="7" s="1"/>
  <c r="AK30" i="7"/>
  <c r="Z30" i="7"/>
  <c r="AA30" i="7" s="1"/>
  <c r="AK34" i="7"/>
  <c r="Z28" i="7"/>
  <c r="AA28" i="7" s="1"/>
  <c r="AK37" i="7"/>
  <c r="Z26" i="7"/>
  <c r="AA26" i="7" s="1"/>
  <c r="Z25" i="7"/>
  <c r="AA25" i="7" s="1"/>
  <c r="Z27" i="7"/>
  <c r="AA27" i="7" s="1"/>
  <c r="AP91" i="2"/>
  <c r="AP92" i="2"/>
  <c r="AF67" i="2"/>
  <c r="AJ67" i="2" s="1"/>
  <c r="AF58" i="2"/>
  <c r="AJ58" i="2" s="1"/>
  <c r="AF55" i="2"/>
  <c r="AF70" i="2"/>
  <c r="AJ70" i="2" s="1"/>
  <c r="AF64" i="2"/>
  <c r="AF52" i="2"/>
  <c r="AP68" i="2"/>
  <c r="AP65" i="2"/>
  <c r="AN36" i="7"/>
  <c r="AH82" i="2"/>
  <c r="AP59" i="2"/>
  <c r="AP89" i="2"/>
  <c r="AH84" i="2"/>
  <c r="AP56" i="2"/>
  <c r="F60" i="4"/>
  <c r="G77" i="12" s="1"/>
  <c r="M77" i="12" s="1"/>
  <c r="B81" i="4"/>
  <c r="C98" i="12" s="1"/>
  <c r="AP83" i="2"/>
  <c r="J57" i="6"/>
  <c r="J69" i="6"/>
  <c r="J77" i="6"/>
  <c r="AP77" i="2"/>
  <c r="AP71" i="2"/>
  <c r="AP62" i="2"/>
  <c r="AP74" i="2"/>
  <c r="AP53" i="2"/>
  <c r="AH75" i="2"/>
  <c r="AH63" i="2"/>
  <c r="AP80" i="2"/>
  <c r="F84" i="4"/>
  <c r="G101" i="12" s="1"/>
  <c r="M101" i="12" s="1"/>
  <c r="F90" i="4"/>
  <c r="G107" i="12" s="1"/>
  <c r="M107" i="12" s="1"/>
  <c r="F63" i="4"/>
  <c r="G80" i="12" s="1"/>
  <c r="M80" i="12" s="1"/>
  <c r="J81" i="6"/>
  <c r="J86" i="6"/>
  <c r="AP86" i="2"/>
  <c r="AP50" i="2"/>
  <c r="AH72" i="2"/>
  <c r="B84" i="4"/>
  <c r="C101" i="12" s="1"/>
  <c r="AH81" i="2"/>
  <c r="AR21" i="2"/>
  <c r="AH58" i="2"/>
  <c r="AH76" i="2"/>
  <c r="D57" i="4"/>
  <c r="E74" i="12" s="1"/>
  <c r="AH57" i="2"/>
  <c r="AH73" i="2"/>
  <c r="AJ82" i="2"/>
  <c r="AJ85" i="2"/>
  <c r="AH61" i="2"/>
  <c r="AP29" i="7" s="1"/>
  <c r="AQ29" i="7" s="1"/>
  <c r="AR24" i="2"/>
  <c r="AH85" i="2"/>
  <c r="J83" i="6"/>
  <c r="B79" i="4"/>
  <c r="C96" i="12" s="1"/>
  <c r="AP78" i="2"/>
  <c r="D70" i="4"/>
  <c r="E87" i="12" s="1"/>
  <c r="B67" i="4"/>
  <c r="C84" i="12" s="1"/>
  <c r="H57" i="6"/>
  <c r="L57" i="6"/>
  <c r="AH69" i="2"/>
  <c r="AH55" i="2"/>
  <c r="AP27" i="7" s="1"/>
  <c r="AQ27" i="7" s="1"/>
  <c r="H63" i="6"/>
  <c r="AJ16" i="2"/>
  <c r="AR15" i="2"/>
  <c r="B55" i="4"/>
  <c r="C72" i="12" s="1"/>
  <c r="H81" i="6"/>
  <c r="L84" i="6"/>
  <c r="H69" i="6"/>
  <c r="AH70" i="2"/>
  <c r="H72" i="6"/>
  <c r="H90" i="6"/>
  <c r="AP60" i="2"/>
  <c r="K60" i="6"/>
  <c r="C58" i="4"/>
  <c r="D75" i="12" s="1"/>
  <c r="J58" i="6"/>
  <c r="B56" i="4"/>
  <c r="C73" i="12" s="1"/>
  <c r="L64" i="6"/>
  <c r="D62" i="4"/>
  <c r="E79" i="12" s="1"/>
  <c r="AP81" i="2"/>
  <c r="K81" i="6"/>
  <c r="C79" i="4"/>
  <c r="D96" i="12" s="1"/>
  <c r="L76" i="6"/>
  <c r="D74" i="4"/>
  <c r="E91" i="12" s="1"/>
  <c r="K79" i="6"/>
  <c r="C77" i="4"/>
  <c r="D94" i="12" s="1"/>
  <c r="K84" i="6"/>
  <c r="C82" i="4"/>
  <c r="D99" i="12" s="1"/>
  <c r="C84" i="4"/>
  <c r="D101" i="12" s="1"/>
  <c r="K86" i="6"/>
  <c r="J71" i="6"/>
  <c r="B69" i="4"/>
  <c r="C86" i="12" s="1"/>
  <c r="J62" i="6"/>
  <c r="B60" i="4"/>
  <c r="C77" i="12" s="1"/>
  <c r="D56" i="4"/>
  <c r="E73" i="12" s="1"/>
  <c r="L58" i="6"/>
  <c r="AH64" i="2"/>
  <c r="J65" i="6"/>
  <c r="B63" i="4"/>
  <c r="C80" i="12" s="1"/>
  <c r="K83" i="6"/>
  <c r="C81" i="4"/>
  <c r="D98" i="12" s="1"/>
  <c r="D84" i="4"/>
  <c r="E101" i="12" s="1"/>
  <c r="L86" i="6"/>
  <c r="K89" i="6"/>
  <c r="C87" i="4"/>
  <c r="D104" i="12" s="1"/>
  <c r="B57" i="4"/>
  <c r="C74" i="12" s="1"/>
  <c r="J59" i="6"/>
  <c r="L65" i="6"/>
  <c r="D63" i="4"/>
  <c r="E80" i="12" s="1"/>
  <c r="L68" i="6"/>
  <c r="D66" i="4"/>
  <c r="E83" i="12" s="1"/>
  <c r="C57" i="4"/>
  <c r="D74" i="12" s="1"/>
  <c r="K59" i="6"/>
  <c r="B66" i="4"/>
  <c r="C83" i="12" s="1"/>
  <c r="J68" i="6"/>
  <c r="J73" i="6"/>
  <c r="B71" i="4"/>
  <c r="C88" i="12" s="1"/>
  <c r="C61" i="4"/>
  <c r="D78" i="12" s="1"/>
  <c r="K63" i="6"/>
  <c r="D75" i="4"/>
  <c r="E92" i="12" s="1"/>
  <c r="L77" i="6"/>
  <c r="L82" i="6"/>
  <c r="D80" i="4"/>
  <c r="E97" i="12" s="1"/>
  <c r="K75" i="6"/>
  <c r="C73" i="4"/>
  <c r="D90" i="12" s="1"/>
  <c r="L80" i="6"/>
  <c r="D78" i="4"/>
  <c r="E95" i="12" s="1"/>
  <c r="J76" i="6"/>
  <c r="B74" i="4"/>
  <c r="C91" i="12" s="1"/>
  <c r="L91" i="6"/>
  <c r="D86" i="4"/>
  <c r="E103" i="12" s="1"/>
  <c r="L88" i="6"/>
  <c r="L85" i="6"/>
  <c r="D83" i="4"/>
  <c r="E100" i="12" s="1"/>
  <c r="B89" i="4"/>
  <c r="C106" i="12" s="1"/>
  <c r="J91" i="6"/>
  <c r="K71" i="6"/>
  <c r="C69" i="4"/>
  <c r="D86" i="12" s="1"/>
  <c r="B90" i="4"/>
  <c r="C107" i="12" s="1"/>
  <c r="J92" i="6"/>
  <c r="H66" i="6"/>
  <c r="H67" i="6"/>
  <c r="H88" i="6"/>
  <c r="H87" i="6"/>
  <c r="J87" i="6"/>
  <c r="B85" i="4"/>
  <c r="C102" i="12" s="1"/>
  <c r="J63" i="6"/>
  <c r="B61" i="4"/>
  <c r="C78" i="12" s="1"/>
  <c r="H85" i="6"/>
  <c r="H84" i="6"/>
  <c r="C59" i="4"/>
  <c r="D76" i="12" s="1"/>
  <c r="K61" i="6"/>
  <c r="K68" i="6"/>
  <c r="C66" i="4"/>
  <c r="D83" i="12" s="1"/>
  <c r="B78" i="4"/>
  <c r="C95" i="12" s="1"/>
  <c r="J80" i="6"/>
  <c r="L70" i="6"/>
  <c r="D68" i="4"/>
  <c r="E85" i="12" s="1"/>
  <c r="C68" i="4"/>
  <c r="D85" i="12" s="1"/>
  <c r="K70" i="6"/>
  <c r="K72" i="6"/>
  <c r="C70" i="4"/>
  <c r="D87" i="12" s="1"/>
  <c r="K77" i="6"/>
  <c r="C75" i="4"/>
  <c r="D92" i="12" s="1"/>
  <c r="K87" i="6"/>
  <c r="C85" i="4"/>
  <c r="D102" i="12" s="1"/>
  <c r="J85" i="6"/>
  <c r="B83" i="4"/>
  <c r="C100" i="12" s="1"/>
  <c r="K65" i="6"/>
  <c r="C63" i="4"/>
  <c r="D80" i="12" s="1"/>
  <c r="F75" i="4"/>
  <c r="G92" i="12" s="1"/>
  <c r="M92" i="12" s="1"/>
  <c r="H75" i="6"/>
  <c r="H76" i="6"/>
  <c r="J75" i="6"/>
  <c r="B73" i="4"/>
  <c r="C90" i="12" s="1"/>
  <c r="H61" i="6"/>
  <c r="H60" i="6"/>
  <c r="F66" i="4"/>
  <c r="G83" i="12" s="1"/>
  <c r="M83" i="12" s="1"/>
  <c r="D69" i="4"/>
  <c r="E86" i="12" s="1"/>
  <c r="L71" i="6"/>
  <c r="J61" i="6"/>
  <c r="B59" i="4"/>
  <c r="C76" i="12" s="1"/>
  <c r="K66" i="6"/>
  <c r="C64" i="4"/>
  <c r="D81" i="12" s="1"/>
  <c r="K73" i="6"/>
  <c r="C71" i="4"/>
  <c r="D88" i="12" s="1"/>
  <c r="C78" i="4"/>
  <c r="D95" i="12" s="1"/>
  <c r="K80" i="6"/>
  <c r="C76" i="4"/>
  <c r="D93" i="12" s="1"/>
  <c r="K78" i="6"/>
  <c r="D90" i="4"/>
  <c r="E107" i="12" s="1"/>
  <c r="L92" i="6"/>
  <c r="K88" i="6"/>
  <c r="C86" i="4"/>
  <c r="D103" i="12" s="1"/>
  <c r="J88" i="6"/>
  <c r="B86" i="4"/>
  <c r="C103" i="12" s="1"/>
  <c r="L66" i="6"/>
  <c r="D64" i="4"/>
  <c r="E81" i="12" s="1"/>
  <c r="C60" i="4"/>
  <c r="D77" i="12" s="1"/>
  <c r="K62" i="6"/>
  <c r="K64" i="6"/>
  <c r="C62" i="4"/>
  <c r="D79" i="12" s="1"/>
  <c r="F69" i="4"/>
  <c r="G86" i="12" s="1"/>
  <c r="M86" i="12" s="1"/>
  <c r="J89" i="6"/>
  <c r="B87" i="4"/>
  <c r="C104" i="12" s="1"/>
  <c r="L60" i="6"/>
  <c r="D58" i="4"/>
  <c r="E75" i="12" s="1"/>
  <c r="B88" i="4"/>
  <c r="C105" i="12" s="1"/>
  <c r="J90" i="6"/>
  <c r="C67" i="4"/>
  <c r="D84" i="12" s="1"/>
  <c r="K69" i="6"/>
  <c r="AP67" i="2"/>
  <c r="L67" i="6"/>
  <c r="D65" i="4"/>
  <c r="E82" i="12" s="1"/>
  <c r="D60" i="4"/>
  <c r="E77" i="12" s="1"/>
  <c r="L62" i="6"/>
  <c r="C55" i="4"/>
  <c r="D72" i="12" s="1"/>
  <c r="K57" i="6"/>
  <c r="C72" i="4"/>
  <c r="D89" i="12" s="1"/>
  <c r="K74" i="6"/>
  <c r="B62" i="4"/>
  <c r="C79" i="12" s="1"/>
  <c r="J64" i="6"/>
  <c r="L74" i="6"/>
  <c r="D72" i="4"/>
  <c r="E89" i="12" s="1"/>
  <c r="J74" i="6"/>
  <c r="B72" i="4"/>
  <c r="C89" i="12" s="1"/>
  <c r="K82" i="6"/>
  <c r="C80" i="4"/>
  <c r="D97" i="12" s="1"/>
  <c r="K76" i="6"/>
  <c r="C74" i="4"/>
  <c r="D91" i="12" s="1"/>
  <c r="J82" i="6"/>
  <c r="B80" i="4"/>
  <c r="C97" i="12" s="1"/>
  <c r="J79" i="6"/>
  <c r="B77" i="4"/>
  <c r="C94" i="12" s="1"/>
  <c r="L83" i="6"/>
  <c r="D81" i="4"/>
  <c r="E98" i="12" s="1"/>
  <c r="C89" i="4"/>
  <c r="D106" i="12" s="1"/>
  <c r="K91" i="6"/>
  <c r="D87" i="4"/>
  <c r="E104" i="12" s="1"/>
  <c r="L89" i="6"/>
  <c r="C83" i="4"/>
  <c r="D100" i="12" s="1"/>
  <c r="K85" i="6"/>
  <c r="J67" i="6"/>
  <c r="B65" i="4"/>
  <c r="C82" i="12" s="1"/>
  <c r="H78" i="6"/>
  <c r="J70" i="6"/>
  <c r="B68" i="4"/>
  <c r="C85" i="12" s="1"/>
  <c r="D79" i="4"/>
  <c r="E96" i="12" s="1"/>
  <c r="L81" i="6"/>
  <c r="L87" i="6"/>
  <c r="D85" i="4"/>
  <c r="E102" i="12" s="1"/>
  <c r="K67" i="6"/>
  <c r="C65" i="4"/>
  <c r="D82" i="12" s="1"/>
  <c r="J84" i="6"/>
  <c r="B82" i="4"/>
  <c r="C99" i="12" s="1"/>
  <c r="L78" i="6"/>
  <c r="D76" i="4"/>
  <c r="E93" i="12" s="1"/>
  <c r="B76" i="4"/>
  <c r="C93" i="12" s="1"/>
  <c r="J78" i="6"/>
  <c r="F78" i="4"/>
  <c r="G95" i="12" s="1"/>
  <c r="M95" i="12" s="1"/>
  <c r="AJ91" i="2"/>
  <c r="AH91" i="2"/>
  <c r="AP39" i="7" s="1"/>
  <c r="AQ39" i="7" s="1"/>
  <c r="C90" i="4"/>
  <c r="D107" i="12" s="1"/>
  <c r="C88" i="4"/>
  <c r="D105" i="12" s="1"/>
  <c r="AH67" i="2"/>
  <c r="AP31" i="7" s="1"/>
  <c r="AQ31" i="7" s="1"/>
  <c r="AH52" i="2"/>
  <c r="AP26" i="7" s="1"/>
  <c r="AQ26" i="7" s="1"/>
  <c r="AP87" i="2"/>
  <c r="AP84" i="2"/>
  <c r="AP72" i="2"/>
  <c r="AP57" i="2"/>
  <c r="AP70" i="2"/>
  <c r="AP85" i="2"/>
  <c r="AP88" i="2"/>
  <c r="AP76" i="2"/>
  <c r="AP82" i="2"/>
  <c r="AP64" i="2"/>
  <c r="AP55" i="2"/>
  <c r="AP66" i="2"/>
  <c r="AP54" i="2"/>
  <c r="AP58" i="2"/>
  <c r="AP52" i="2"/>
  <c r="M55" i="6"/>
  <c r="AK32" i="7" l="1"/>
  <c r="AL37" i="7"/>
  <c r="AM37" i="7" s="1"/>
  <c r="AK36" i="7"/>
  <c r="AP75" i="2"/>
  <c r="AG75" i="2"/>
  <c r="AL34" i="7" s="1"/>
  <c r="AM34" i="7" s="1"/>
  <c r="AP69" i="2"/>
  <c r="V32" i="7" s="1"/>
  <c r="W32" i="7" s="1"/>
  <c r="AK33" i="7"/>
  <c r="L61" i="6"/>
  <c r="AF61" i="2"/>
  <c r="AJ61" i="2" s="1"/>
  <c r="AN27" i="7"/>
  <c r="AB27" i="7" s="1"/>
  <c r="AC27" i="7" s="1"/>
  <c r="AH49" i="2"/>
  <c r="AP25" i="7" s="1"/>
  <c r="AQ25" i="7" s="1"/>
  <c r="AK25" i="7"/>
  <c r="AF49" i="2"/>
  <c r="AN25" i="7" s="1"/>
  <c r="AO25" i="7" s="1"/>
  <c r="AP49" i="2"/>
  <c r="V25" i="7" s="1"/>
  <c r="W25" i="7" s="1"/>
  <c r="AN37" i="7"/>
  <c r="AL39" i="7"/>
  <c r="AM39" i="7" s="1"/>
  <c r="AG61" i="2"/>
  <c r="AL29" i="7" s="1"/>
  <c r="AM29" i="7" s="1"/>
  <c r="AG73" i="2"/>
  <c r="AL33" i="7" s="1"/>
  <c r="AM33" i="7" s="1"/>
  <c r="AR90" i="2"/>
  <c r="AN39" i="7"/>
  <c r="AF73" i="2"/>
  <c r="AP61" i="2"/>
  <c r="V29" i="7" s="1"/>
  <c r="W29" i="7" s="1"/>
  <c r="AP73" i="2"/>
  <c r="D71" i="4"/>
  <c r="E88" i="12" s="1"/>
  <c r="AL30" i="7"/>
  <c r="AM30" i="7" s="1"/>
  <c r="AP63" i="2"/>
  <c r="V30" i="7" s="1"/>
  <c r="W30" i="7" s="1"/>
  <c r="AR18" i="2"/>
  <c r="AK38" i="7"/>
  <c r="AG69" i="2"/>
  <c r="AL32" i="7" s="1"/>
  <c r="AM32" i="7" s="1"/>
  <c r="AF63" i="2"/>
  <c r="AJ63" i="2" s="1"/>
  <c r="AF57" i="2"/>
  <c r="AR57" i="2" s="1"/>
  <c r="AK28" i="7"/>
  <c r="AN15" i="7"/>
  <c r="AO15" i="7" s="1"/>
  <c r="AK27" i="7"/>
  <c r="AL26" i="7"/>
  <c r="AM26" i="7" s="1"/>
  <c r="AG57" i="2"/>
  <c r="AL28" i="7" s="1"/>
  <c r="AM28" i="7" s="1"/>
  <c r="AL25" i="7"/>
  <c r="AM25" i="7" s="1"/>
  <c r="AN34" i="7"/>
  <c r="AO34" i="7" s="1"/>
  <c r="L69" i="6"/>
  <c r="D67" i="4"/>
  <c r="E84" i="12" s="1"/>
  <c r="D73" i="4"/>
  <c r="E90" i="12" s="1"/>
  <c r="L75" i="6"/>
  <c r="D61" i="4"/>
  <c r="E78" i="12" s="1"/>
  <c r="L63" i="6"/>
  <c r="AJ55" i="2"/>
  <c r="AN31" i="7"/>
  <c r="AO31" i="7" s="1"/>
  <c r="AK31" i="7"/>
  <c r="AN26" i="7"/>
  <c r="AO26" i="7" s="1"/>
  <c r="AK26" i="7"/>
  <c r="AB14" i="7"/>
  <c r="AC14" i="7" s="1"/>
  <c r="AL27" i="7"/>
  <c r="AM27" i="7" s="1"/>
  <c r="AK29" i="7"/>
  <c r="AJ64" i="2"/>
  <c r="AL31" i="7"/>
  <c r="AM31" i="7" s="1"/>
  <c r="AP28" i="7"/>
  <c r="AQ28" i="7" s="1"/>
  <c r="V27" i="7"/>
  <c r="W27" i="7" s="1"/>
  <c r="V28" i="7"/>
  <c r="W28" i="7" s="1"/>
  <c r="AO27" i="7"/>
  <c r="AP30" i="7"/>
  <c r="AQ30" i="7" s="1"/>
  <c r="V39" i="7"/>
  <c r="W39" i="7" s="1"/>
  <c r="V38" i="7"/>
  <c r="W38" i="7" s="1"/>
  <c r="AO38" i="7"/>
  <c r="AB38" i="7"/>
  <c r="AC38" i="7" s="1"/>
  <c r="AO37" i="7"/>
  <c r="AB37" i="7"/>
  <c r="AC37" i="7" s="1"/>
  <c r="V37" i="7"/>
  <c r="W37" i="7" s="1"/>
  <c r="AP37" i="7"/>
  <c r="AQ37" i="7" s="1"/>
  <c r="AL36" i="7"/>
  <c r="AM36" i="7" s="1"/>
  <c r="V36" i="7"/>
  <c r="W36" i="7" s="1"/>
  <c r="AP36" i="7"/>
  <c r="AQ36" i="7" s="1"/>
  <c r="AO36" i="7"/>
  <c r="AB36" i="7"/>
  <c r="AC36" i="7" s="1"/>
  <c r="AK35" i="7"/>
  <c r="V34" i="7"/>
  <c r="W34" i="7" s="1"/>
  <c r="AP34" i="7"/>
  <c r="AQ34" i="7" s="1"/>
  <c r="AP33" i="7"/>
  <c r="AQ33" i="7" s="1"/>
  <c r="V33" i="7"/>
  <c r="W33" i="7" s="1"/>
  <c r="AP32" i="7"/>
  <c r="AQ32" i="7" s="1"/>
  <c r="V31" i="7"/>
  <c r="W31" i="7" s="1"/>
  <c r="AJ52" i="2"/>
  <c r="V26" i="7"/>
  <c r="W26" i="7" s="1"/>
  <c r="AB25" i="7"/>
  <c r="AC25" i="7" s="1"/>
  <c r="AO17" i="7"/>
  <c r="AB17" i="7"/>
  <c r="AC17" i="7" s="1"/>
  <c r="AO16" i="7"/>
  <c r="AB16" i="7"/>
  <c r="AC16" i="7" s="1"/>
  <c r="AN32" i="7"/>
  <c r="AR84" i="2"/>
  <c r="AJ57" i="2"/>
  <c r="AJ84" i="2"/>
  <c r="AR72" i="2"/>
  <c r="AR81" i="2"/>
  <c r="AJ72" i="2"/>
  <c r="AH79" i="2"/>
  <c r="AP35" i="7" s="1"/>
  <c r="AQ35" i="7" s="1"/>
  <c r="AJ81" i="2"/>
  <c r="AR51" i="2"/>
  <c r="AJ60" i="2"/>
  <c r="AR69" i="2"/>
  <c r="AJ66" i="2"/>
  <c r="AR66" i="2"/>
  <c r="AJ87" i="2"/>
  <c r="AR87" i="2"/>
  <c r="AJ75" i="2"/>
  <c r="AR75" i="2"/>
  <c r="AJ78" i="2"/>
  <c r="AR63" i="2"/>
  <c r="AR54" i="2"/>
  <c r="M54" i="6"/>
  <c r="M56" i="6"/>
  <c r="F53" i="4"/>
  <c r="F54" i="6"/>
  <c r="H54" i="6" s="1"/>
  <c r="C54" i="6"/>
  <c r="B54" i="6"/>
  <c r="AR60" i="2" l="1"/>
  <c r="AJ49" i="2"/>
  <c r="AR48" i="2"/>
  <c r="AN29" i="7"/>
  <c r="AO29" i="7" s="1"/>
  <c r="AO39" i="7"/>
  <c r="AB39" i="7"/>
  <c r="AC39" i="7" s="1"/>
  <c r="AN33" i="7"/>
  <c r="AJ73" i="2"/>
  <c r="AN28" i="7"/>
  <c r="AO28" i="7" s="1"/>
  <c r="AN30" i="7"/>
  <c r="AO30" i="7" s="1"/>
  <c r="AB26" i="7"/>
  <c r="AC26" i="7" s="1"/>
  <c r="P26" i="7" s="1"/>
  <c r="O26" i="7" s="1"/>
  <c r="N26" i="7" s="1"/>
  <c r="J26" i="7" s="1"/>
  <c r="AB15" i="7"/>
  <c r="AC15" i="7" s="1"/>
  <c r="P15" i="7" s="1"/>
  <c r="O15" i="7" s="1"/>
  <c r="N15" i="7" s="1"/>
  <c r="J15" i="7" s="1"/>
  <c r="AB31" i="7"/>
  <c r="AC31" i="7" s="1"/>
  <c r="P31" i="7" s="1"/>
  <c r="O31" i="7" s="1"/>
  <c r="N31" i="7" s="1"/>
  <c r="J31" i="7" s="1"/>
  <c r="AB34" i="7"/>
  <c r="AC34" i="7" s="1"/>
  <c r="P34" i="7" s="1"/>
  <c r="O34" i="7" s="1"/>
  <c r="N34" i="7" s="1"/>
  <c r="J34" i="7" s="1"/>
  <c r="P27" i="7"/>
  <c r="O27" i="7" s="1"/>
  <c r="N27" i="7" s="1"/>
  <c r="J27" i="7" s="1"/>
  <c r="P16" i="7"/>
  <c r="O16" i="7" s="1"/>
  <c r="N16" i="7" s="1"/>
  <c r="J16" i="7" s="1"/>
  <c r="P25" i="7"/>
  <c r="O25" i="7" s="1"/>
  <c r="N25" i="7" s="1"/>
  <c r="J25" i="7" s="1"/>
  <c r="P37" i="7"/>
  <c r="O37" i="7" s="1"/>
  <c r="N37" i="7" s="1"/>
  <c r="J37" i="7" s="1"/>
  <c r="P36" i="7"/>
  <c r="O36" i="7" s="1"/>
  <c r="N36" i="7" s="1"/>
  <c r="J36" i="7" s="1"/>
  <c r="P38" i="7"/>
  <c r="O38" i="7" s="1"/>
  <c r="N38" i="7" s="1"/>
  <c r="P14" i="7"/>
  <c r="O14" i="7" s="1"/>
  <c r="N14" i="7" s="1"/>
  <c r="J14" i="7" s="1"/>
  <c r="AB29" i="7"/>
  <c r="AC29" i="7" s="1"/>
  <c r="AO32" i="7"/>
  <c r="AB32" i="7"/>
  <c r="AC32" i="7" s="1"/>
  <c r="L79" i="6"/>
  <c r="AG79" i="2"/>
  <c r="AL35" i="7" s="1"/>
  <c r="AM35" i="7" s="1"/>
  <c r="AF79" i="2"/>
  <c r="D77" i="4"/>
  <c r="E94" i="12" s="1"/>
  <c r="AP79" i="2"/>
  <c r="H55" i="6"/>
  <c r="F52" i="4"/>
  <c r="J56" i="6"/>
  <c r="B54" i="4"/>
  <c r="C71" i="12" s="1"/>
  <c r="F54" i="4"/>
  <c r="G71" i="12" s="1"/>
  <c r="M71" i="12" s="1"/>
  <c r="G54" i="6"/>
  <c r="H56" i="6" s="1"/>
  <c r="K53" i="4"/>
  <c r="E54" i="6"/>
  <c r="J52" i="4"/>
  <c r="B52" i="4"/>
  <c r="C69" i="12" s="1"/>
  <c r="D52" i="4"/>
  <c r="E69" i="12" s="1"/>
  <c r="D54" i="6"/>
  <c r="J53" i="4"/>
  <c r="K52" i="4"/>
  <c r="B53" i="4"/>
  <c r="C70" i="12" s="1"/>
  <c r="H53" i="4"/>
  <c r="L53" i="4"/>
  <c r="L70" i="12" s="1"/>
  <c r="C54" i="4"/>
  <c r="D71" i="12" s="1"/>
  <c r="L52" i="4"/>
  <c r="L69" i="12" s="1"/>
  <c r="C53" i="4"/>
  <c r="D70" i="12" s="1"/>
  <c r="I53" i="4"/>
  <c r="D54" i="4"/>
  <c r="E71" i="12" s="1"/>
  <c r="C52" i="4"/>
  <c r="D69" i="12" s="1"/>
  <c r="D53" i="4"/>
  <c r="E70" i="12" s="1"/>
  <c r="AB28" i="7" l="1"/>
  <c r="AC28" i="7" s="1"/>
  <c r="AB30" i="7"/>
  <c r="AC30" i="7" s="1"/>
  <c r="P30" i="7" s="1"/>
  <c r="O30" i="7" s="1"/>
  <c r="N30" i="7" s="1"/>
  <c r="J30" i="7" s="1"/>
  <c r="P39" i="7"/>
  <c r="O39" i="7" s="1"/>
  <c r="N39" i="7" s="1"/>
  <c r="AO33" i="7"/>
  <c r="AB33" i="7"/>
  <c r="AC33" i="7" s="1"/>
  <c r="P32" i="7"/>
  <c r="O32" i="7" s="1"/>
  <c r="N32" i="7" s="1"/>
  <c r="J32" i="7" s="1"/>
  <c r="P28" i="7"/>
  <c r="O28" i="7" s="1"/>
  <c r="N28" i="7" s="1"/>
  <c r="J28" i="7" s="1"/>
  <c r="P29" i="7"/>
  <c r="O29" i="7" s="1"/>
  <c r="N29" i="7" s="1"/>
  <c r="J29" i="7" s="1"/>
  <c r="V35" i="7"/>
  <c r="W35" i="7" s="1"/>
  <c r="AJ79" i="2"/>
  <c r="AN35" i="7"/>
  <c r="AR78" i="2"/>
  <c r="K55" i="6"/>
  <c r="J55" i="6"/>
  <c r="K54" i="6"/>
  <c r="L56" i="6"/>
  <c r="L55" i="6"/>
  <c r="L54" i="6"/>
  <c r="K56" i="6"/>
  <c r="J54" i="6"/>
  <c r="L3" i="4"/>
  <c r="H3" i="4"/>
  <c r="I3" i="4"/>
  <c r="J3" i="4"/>
  <c r="K3" i="4"/>
  <c r="I1" i="4"/>
  <c r="H1" i="4"/>
  <c r="P33" i="7" l="1"/>
  <c r="O33" i="7" s="1"/>
  <c r="N33" i="7" s="1"/>
  <c r="J33" i="7" s="1"/>
  <c r="AO35" i="7"/>
  <c r="AB35" i="7"/>
  <c r="AC35" i="7" s="1"/>
  <c r="V93" i="2"/>
  <c r="L7" i="2" s="1"/>
  <c r="P35" i="7" l="1"/>
  <c r="O35" i="7" s="1"/>
  <c r="N35" i="7" s="1"/>
  <c r="J35" i="7" s="1"/>
  <c r="X9" i="2"/>
  <c r="G9" i="6" s="1"/>
  <c r="H11" i="6" s="1"/>
  <c r="G39" i="4"/>
  <c r="N56" i="12" s="1"/>
  <c r="G36" i="4"/>
  <c r="N53" i="12" s="1"/>
  <c r="G33" i="4"/>
  <c r="N50" i="12" s="1"/>
  <c r="G30" i="4"/>
  <c r="N47" i="12" s="1"/>
  <c r="G27" i="4"/>
  <c r="N44" i="12" s="1"/>
  <c r="G24" i="4"/>
  <c r="N41" i="12" s="1"/>
  <c r="G21" i="4"/>
  <c r="N38" i="12" s="1"/>
  <c r="G41" i="4"/>
  <c r="G40" i="4"/>
  <c r="G35" i="4"/>
  <c r="G32" i="4"/>
  <c r="AQ31" i="2"/>
  <c r="AQ30" i="2"/>
  <c r="AQ27" i="2"/>
  <c r="G23" i="4"/>
  <c r="G20" i="4"/>
  <c r="AQ13" i="2"/>
  <c r="AQ12" i="2"/>
  <c r="AQ10" i="2"/>
  <c r="AQ9" i="2"/>
  <c r="AD7" i="2"/>
  <c r="AQ7" i="2" s="1"/>
  <c r="AD6" i="2"/>
  <c r="R3" i="2"/>
  <c r="S3" i="2"/>
  <c r="C3" i="6" s="1"/>
  <c r="G51" i="6"/>
  <c r="H53" i="6" s="1"/>
  <c r="G48" i="6"/>
  <c r="H50" i="6" s="1"/>
  <c r="G45" i="6"/>
  <c r="H47" i="6" s="1"/>
  <c r="G42" i="6"/>
  <c r="H44" i="6" s="1"/>
  <c r="G39" i="6"/>
  <c r="H41" i="6" s="1"/>
  <c r="G36" i="6"/>
  <c r="H38" i="6" s="1"/>
  <c r="G33" i="6"/>
  <c r="H35" i="6" s="1"/>
  <c r="X30" i="2"/>
  <c r="G30" i="6" s="1"/>
  <c r="H32" i="6" s="1"/>
  <c r="X27" i="2"/>
  <c r="G27" i="6" s="1"/>
  <c r="H29" i="6" s="1"/>
  <c r="G24" i="6"/>
  <c r="H26" i="6" s="1"/>
  <c r="G21" i="6"/>
  <c r="H23" i="6" s="1"/>
  <c r="G18" i="6"/>
  <c r="H20" i="6" s="1"/>
  <c r="G15" i="6"/>
  <c r="H17" i="6" s="1"/>
  <c r="X12" i="2"/>
  <c r="G12" i="6" s="1"/>
  <c r="H14" i="6" s="1"/>
  <c r="X6" i="2"/>
  <c r="G6" i="6" s="1"/>
  <c r="H8" i="6" s="1"/>
  <c r="F51" i="6"/>
  <c r="F48" i="6"/>
  <c r="F45" i="6"/>
  <c r="F42" i="6"/>
  <c r="F39" i="6"/>
  <c r="F36" i="6"/>
  <c r="F33" i="6"/>
  <c r="W30" i="2"/>
  <c r="F30" i="6" s="1"/>
  <c r="W27" i="2"/>
  <c r="F27" i="6" s="1"/>
  <c r="F24" i="6"/>
  <c r="F21" i="6"/>
  <c r="F18" i="6"/>
  <c r="F15" i="6"/>
  <c r="W12" i="2"/>
  <c r="F12" i="6" s="1"/>
  <c r="W9" i="2"/>
  <c r="F9" i="6" s="1"/>
  <c r="W6" i="2"/>
  <c r="F6" i="6" s="1"/>
  <c r="X3" i="2"/>
  <c r="G3" i="6" s="1"/>
  <c r="H5" i="6" s="1"/>
  <c r="W3" i="2"/>
  <c r="F3" i="6" s="1"/>
  <c r="U30" i="2"/>
  <c r="U27" i="2"/>
  <c r="U12" i="2"/>
  <c r="U9" i="2"/>
  <c r="U6" i="2"/>
  <c r="D51" i="6"/>
  <c r="D48" i="6"/>
  <c r="D45" i="6"/>
  <c r="D42" i="6"/>
  <c r="D39" i="6"/>
  <c r="D36" i="6"/>
  <c r="D33" i="6"/>
  <c r="T30" i="2"/>
  <c r="D30" i="6" s="1"/>
  <c r="T27" i="2"/>
  <c r="D27" i="6" s="1"/>
  <c r="D24" i="6"/>
  <c r="D18" i="6"/>
  <c r="D15" i="6"/>
  <c r="T12" i="2"/>
  <c r="D12" i="6" s="1"/>
  <c r="T9" i="2"/>
  <c r="D9" i="6" s="1"/>
  <c r="T6" i="2"/>
  <c r="D6" i="6" s="1"/>
  <c r="C51" i="6"/>
  <c r="C48" i="6"/>
  <c r="C45" i="6"/>
  <c r="C42" i="6"/>
  <c r="C39" i="6"/>
  <c r="C36" i="6"/>
  <c r="C33" i="6"/>
  <c r="S30" i="2"/>
  <c r="C30" i="6" s="1"/>
  <c r="S27" i="2"/>
  <c r="C27" i="6" s="1"/>
  <c r="C24" i="6"/>
  <c r="C21" i="6"/>
  <c r="C18" i="6"/>
  <c r="C15" i="6"/>
  <c r="S12" i="2"/>
  <c r="C12" i="6" s="1"/>
  <c r="S9" i="2"/>
  <c r="C9" i="6" s="1"/>
  <c r="S6" i="2"/>
  <c r="C6" i="6" s="1"/>
  <c r="R30" i="2"/>
  <c r="R27" i="2"/>
  <c r="B24" i="6"/>
  <c r="B21" i="6"/>
  <c r="B18" i="6"/>
  <c r="B15" i="6"/>
  <c r="R12" i="2"/>
  <c r="R9" i="2"/>
  <c r="R6" i="2"/>
  <c r="U3" i="2"/>
  <c r="AI3" i="2" s="1"/>
  <c r="AD10" i="7" s="1"/>
  <c r="T3" i="2"/>
  <c r="D3" i="6" s="1"/>
  <c r="AI9" i="2" l="1"/>
  <c r="AD12" i="7" s="1"/>
  <c r="N40" i="12"/>
  <c r="M40" i="12"/>
  <c r="N49" i="12"/>
  <c r="M49" i="12"/>
  <c r="N57" i="12"/>
  <c r="M57" i="12"/>
  <c r="N37" i="12"/>
  <c r="M37" i="12"/>
  <c r="N52" i="12"/>
  <c r="M52" i="12"/>
  <c r="N58" i="12"/>
  <c r="M58" i="12"/>
  <c r="AC29" i="2"/>
  <c r="AC32" i="2"/>
  <c r="AC8" i="2"/>
  <c r="AC14" i="2"/>
  <c r="AC5" i="2"/>
  <c r="AC11" i="2"/>
  <c r="AQ6" i="2"/>
  <c r="AK6" i="2"/>
  <c r="AN7" i="2" s="1"/>
  <c r="K5" i="4" s="1"/>
  <c r="AN4" i="2"/>
  <c r="K2" i="4" s="1"/>
  <c r="AN3" i="2"/>
  <c r="K1" i="4" s="1"/>
  <c r="AL4" i="2"/>
  <c r="I2" i="4" s="1"/>
  <c r="AM4" i="2"/>
  <c r="J2" i="4" s="1"/>
  <c r="AM3" i="2"/>
  <c r="J1" i="4" s="1"/>
  <c r="AK4" i="2"/>
  <c r="H2" i="4" s="1"/>
  <c r="AN9" i="2"/>
  <c r="K7" i="4" s="1"/>
  <c r="AM9" i="2"/>
  <c r="J7" i="4" s="1"/>
  <c r="AM10" i="2"/>
  <c r="J8" i="4" s="1"/>
  <c r="AN10" i="2"/>
  <c r="K8" i="4" s="1"/>
  <c r="AL10" i="2"/>
  <c r="I8" i="4" s="1"/>
  <c r="AK10" i="2"/>
  <c r="H8" i="4" s="1"/>
  <c r="AN28" i="2"/>
  <c r="K26" i="4" s="1"/>
  <c r="AL28" i="2"/>
  <c r="I26" i="4" s="1"/>
  <c r="AM28" i="2"/>
  <c r="J26" i="4" s="1"/>
  <c r="AK28" i="2"/>
  <c r="H26" i="4" s="1"/>
  <c r="AE27" i="2"/>
  <c r="AN27" i="2"/>
  <c r="AM27" i="2"/>
  <c r="AM12" i="2"/>
  <c r="J10" i="4" s="1"/>
  <c r="AN12" i="2"/>
  <c r="K10" i="4" s="1"/>
  <c r="AN13" i="2"/>
  <c r="K11" i="4" s="1"/>
  <c r="AM13" i="2"/>
  <c r="J11" i="4" s="1"/>
  <c r="AK13" i="2"/>
  <c r="H11" i="4" s="1"/>
  <c r="AL13" i="2"/>
  <c r="I11" i="4" s="1"/>
  <c r="AM31" i="2"/>
  <c r="J29" i="4" s="1"/>
  <c r="AK31" i="2"/>
  <c r="H29" i="4" s="1"/>
  <c r="AE30" i="2"/>
  <c r="AN31" i="2"/>
  <c r="K29" i="4" s="1"/>
  <c r="AL31" i="2"/>
  <c r="I29" i="4" s="1"/>
  <c r="AM30" i="2"/>
  <c r="AN30" i="2"/>
  <c r="AN6" i="2"/>
  <c r="K4" i="4" s="1"/>
  <c r="B9" i="6"/>
  <c r="AE9" i="2"/>
  <c r="B6" i="6"/>
  <c r="AE6" i="2"/>
  <c r="B12" i="6"/>
  <c r="AE12" i="2"/>
  <c r="B3" i="6"/>
  <c r="AE3" i="2"/>
  <c r="AB9" i="2"/>
  <c r="AB6" i="2"/>
  <c r="AB30" i="2"/>
  <c r="AB12" i="2"/>
  <c r="AB27" i="2"/>
  <c r="AB3" i="2"/>
  <c r="E6" i="6"/>
  <c r="G26" i="4"/>
  <c r="AQ28" i="2"/>
  <c r="G28" i="4"/>
  <c r="G34" i="4"/>
  <c r="G8" i="4"/>
  <c r="G14" i="4"/>
  <c r="G10" i="4"/>
  <c r="G16" i="4"/>
  <c r="G22" i="4"/>
  <c r="G15" i="4"/>
  <c r="N32" i="12" s="1"/>
  <c r="G11" i="4"/>
  <c r="G18" i="4"/>
  <c r="N35" i="12" s="1"/>
  <c r="G7" i="4"/>
  <c r="G9" i="4"/>
  <c r="N26" i="12" s="1"/>
  <c r="G12" i="4"/>
  <c r="N29" i="12" s="1"/>
  <c r="G5" i="4"/>
  <c r="G6" i="4"/>
  <c r="G38" i="4"/>
  <c r="G37" i="4"/>
  <c r="M15" i="6"/>
  <c r="G13" i="4"/>
  <c r="M21" i="6"/>
  <c r="G19" i="4"/>
  <c r="M27" i="6"/>
  <c r="G25" i="4"/>
  <c r="M33" i="6"/>
  <c r="G31" i="4"/>
  <c r="M19" i="6"/>
  <c r="G17" i="4"/>
  <c r="M31" i="6"/>
  <c r="G29" i="4"/>
  <c r="D21" i="6"/>
  <c r="M51" i="6"/>
  <c r="M45" i="6"/>
  <c r="M43" i="6"/>
  <c r="M39" i="6"/>
  <c r="M53" i="6"/>
  <c r="M47" i="6"/>
  <c r="M35" i="6"/>
  <c r="B39" i="6"/>
  <c r="AA39" i="2"/>
  <c r="B51" i="6"/>
  <c r="B49" i="4"/>
  <c r="C66" i="12" s="1"/>
  <c r="H14" i="4"/>
  <c r="L14" i="4"/>
  <c r="L31" i="12" s="1"/>
  <c r="J14" i="4"/>
  <c r="I14" i="4"/>
  <c r="L13" i="4"/>
  <c r="L30" i="12" s="1"/>
  <c r="E15" i="6"/>
  <c r="J13" i="4"/>
  <c r="K13" i="4"/>
  <c r="K14" i="4"/>
  <c r="AA41" i="2"/>
  <c r="AO40" i="2"/>
  <c r="AO39" i="2"/>
  <c r="E39" i="6"/>
  <c r="AB41" i="2"/>
  <c r="AB40" i="2"/>
  <c r="AA40" i="2"/>
  <c r="AC40" i="2" s="1"/>
  <c r="H7" i="6"/>
  <c r="H6" i="6"/>
  <c r="H30" i="6"/>
  <c r="H31" i="6"/>
  <c r="M13" i="6"/>
  <c r="M32" i="6"/>
  <c r="B30" i="6"/>
  <c r="AA30" i="2"/>
  <c r="AC30" i="2" s="1"/>
  <c r="E30" i="6"/>
  <c r="AO30" i="2"/>
  <c r="AB32" i="2"/>
  <c r="AO31" i="2"/>
  <c r="L29" i="4" s="1"/>
  <c r="L46" i="12" s="1"/>
  <c r="AA32" i="2"/>
  <c r="AB31" i="2"/>
  <c r="AA31" i="2"/>
  <c r="AC31" i="2" s="1"/>
  <c r="H3" i="6"/>
  <c r="H4" i="6"/>
  <c r="H21" i="6"/>
  <c r="H22" i="6"/>
  <c r="H45" i="6"/>
  <c r="H46" i="6"/>
  <c r="M9" i="6"/>
  <c r="M11" i="6"/>
  <c r="E9" i="6"/>
  <c r="AO10" i="2"/>
  <c r="L8" i="4" s="1"/>
  <c r="L25" i="12" s="1"/>
  <c r="AA11" i="2"/>
  <c r="AO9" i="2"/>
  <c r="L7" i="4" s="1"/>
  <c r="L24" i="12" s="1"/>
  <c r="AB11" i="2"/>
  <c r="K44" i="4"/>
  <c r="AA47" i="2"/>
  <c r="H44" i="4"/>
  <c r="K43" i="4"/>
  <c r="J44" i="4"/>
  <c r="AB47" i="2"/>
  <c r="I44" i="4"/>
  <c r="AO46" i="2"/>
  <c r="L44" i="4" s="1"/>
  <c r="L61" i="12" s="1"/>
  <c r="E45" i="6"/>
  <c r="J43" i="4"/>
  <c r="AO45" i="2"/>
  <c r="L43" i="4" s="1"/>
  <c r="L60" i="12" s="1"/>
  <c r="AB46" i="2"/>
  <c r="AA46" i="2"/>
  <c r="AC46" i="2" s="1"/>
  <c r="H25" i="6"/>
  <c r="H24" i="6"/>
  <c r="M10" i="6"/>
  <c r="M14" i="6"/>
  <c r="M26" i="6"/>
  <c r="M38" i="6"/>
  <c r="M50" i="6"/>
  <c r="B27" i="6"/>
  <c r="AA27" i="2"/>
  <c r="AC27" i="2" s="1"/>
  <c r="AO27" i="2"/>
  <c r="AA29" i="2"/>
  <c r="E27" i="6"/>
  <c r="AO28" i="2"/>
  <c r="L26" i="4" s="1"/>
  <c r="L43" i="12" s="1"/>
  <c r="AB29" i="2"/>
  <c r="AB28" i="2"/>
  <c r="AA28" i="2"/>
  <c r="AC28" i="2" s="1"/>
  <c r="L50" i="4"/>
  <c r="L67" i="12" s="1"/>
  <c r="E51" i="6"/>
  <c r="K50" i="4"/>
  <c r="L49" i="4"/>
  <c r="L66" i="12" s="1"/>
  <c r="B51" i="4"/>
  <c r="C68" i="12" s="1"/>
  <c r="H50" i="4"/>
  <c r="K49" i="4"/>
  <c r="J49" i="4"/>
  <c r="I50" i="4"/>
  <c r="J50" i="4"/>
  <c r="C51" i="4"/>
  <c r="D68" i="12" s="1"/>
  <c r="C50" i="4"/>
  <c r="D67" i="12" s="1"/>
  <c r="B50" i="4"/>
  <c r="C67" i="12" s="1"/>
  <c r="D51" i="4"/>
  <c r="E68" i="12" s="1"/>
  <c r="H18" i="6"/>
  <c r="H19" i="6"/>
  <c r="H42" i="6"/>
  <c r="H43" i="6"/>
  <c r="M7" i="6"/>
  <c r="M25" i="6"/>
  <c r="M37" i="6"/>
  <c r="M49" i="6"/>
  <c r="M20" i="6"/>
  <c r="M44" i="6"/>
  <c r="B42" i="6"/>
  <c r="AA42" i="2"/>
  <c r="L16" i="4"/>
  <c r="L33" i="12" s="1"/>
  <c r="L17" i="4"/>
  <c r="L34" i="12" s="1"/>
  <c r="J17" i="4"/>
  <c r="J16" i="4"/>
  <c r="I17" i="4"/>
  <c r="E18" i="6"/>
  <c r="K16" i="4"/>
  <c r="K17" i="4"/>
  <c r="H17" i="4"/>
  <c r="E42" i="6"/>
  <c r="AO42" i="2"/>
  <c r="L40" i="4" s="1"/>
  <c r="L57" i="12" s="1"/>
  <c r="AO43" i="2"/>
  <c r="L41" i="4" s="1"/>
  <c r="L58" i="12" s="1"/>
  <c r="J41" i="4"/>
  <c r="J40" i="4"/>
  <c r="AB44" i="2"/>
  <c r="I41" i="4"/>
  <c r="H41" i="4"/>
  <c r="K40" i="4"/>
  <c r="K41" i="4"/>
  <c r="AA44" i="2"/>
  <c r="AB43" i="2"/>
  <c r="AA43" i="2"/>
  <c r="AC43" i="2" s="1"/>
  <c r="H9" i="6"/>
  <c r="H10" i="6"/>
  <c r="H33" i="6"/>
  <c r="H34" i="6"/>
  <c r="G1" i="4"/>
  <c r="M3" i="6"/>
  <c r="M23" i="6"/>
  <c r="B33" i="6"/>
  <c r="AA33" i="2"/>
  <c r="B45" i="6"/>
  <c r="AA45" i="2"/>
  <c r="E21" i="6"/>
  <c r="B21" i="4"/>
  <c r="C38" i="12" s="1"/>
  <c r="H20" i="4"/>
  <c r="L20" i="4"/>
  <c r="L37" i="12" s="1"/>
  <c r="I20" i="4"/>
  <c r="J20" i="4"/>
  <c r="K20" i="4"/>
  <c r="AO33" i="2"/>
  <c r="K32" i="4"/>
  <c r="AO34" i="2"/>
  <c r="L32" i="4" s="1"/>
  <c r="L49" i="12" s="1"/>
  <c r="AA35" i="2"/>
  <c r="H32" i="4"/>
  <c r="J32" i="4"/>
  <c r="AB35" i="2"/>
  <c r="I32" i="4"/>
  <c r="E33" i="6"/>
  <c r="AB34" i="2"/>
  <c r="AA34" i="2"/>
  <c r="AC34" i="2" s="1"/>
  <c r="H12" i="6"/>
  <c r="H13" i="6"/>
  <c r="H36" i="6"/>
  <c r="H37" i="6"/>
  <c r="H48" i="6"/>
  <c r="H49" i="6"/>
  <c r="G2" i="4"/>
  <c r="M4" i="6"/>
  <c r="M16" i="6"/>
  <c r="M22" i="6"/>
  <c r="M28" i="6"/>
  <c r="M34" i="6"/>
  <c r="M40" i="6"/>
  <c r="M46" i="6"/>
  <c r="M52" i="6"/>
  <c r="B36" i="6"/>
  <c r="AA36" i="2"/>
  <c r="B48" i="6"/>
  <c r="B46" i="4"/>
  <c r="C63" i="12" s="1"/>
  <c r="AO12" i="2"/>
  <c r="L10" i="4" s="1"/>
  <c r="L27" i="12" s="1"/>
  <c r="AB14" i="2"/>
  <c r="AA14" i="2"/>
  <c r="E12" i="6"/>
  <c r="AO13" i="2"/>
  <c r="L11" i="4" s="1"/>
  <c r="L28" i="12" s="1"/>
  <c r="J23" i="4"/>
  <c r="L23" i="4"/>
  <c r="L40" i="12" s="1"/>
  <c r="AB26" i="2"/>
  <c r="E24" i="6"/>
  <c r="AA26" i="2"/>
  <c r="H23" i="4"/>
  <c r="K23" i="4"/>
  <c r="I23" i="4"/>
  <c r="AO36" i="2"/>
  <c r="AB38" i="2"/>
  <c r="J35" i="4"/>
  <c r="E36" i="6"/>
  <c r="I35" i="4"/>
  <c r="AA38" i="2"/>
  <c r="X21" i="7" s="1"/>
  <c r="Y21" i="7" s="1"/>
  <c r="AO37" i="2"/>
  <c r="L35" i="4" s="1"/>
  <c r="L52" i="12" s="1"/>
  <c r="K35" i="4"/>
  <c r="H35" i="4"/>
  <c r="AB37" i="2"/>
  <c r="AA37" i="2"/>
  <c r="AC37" i="2" s="1"/>
  <c r="L46" i="4"/>
  <c r="L63" i="12" s="1"/>
  <c r="J47" i="4"/>
  <c r="J46" i="4"/>
  <c r="L47" i="4"/>
  <c r="L64" i="12" s="1"/>
  <c r="I47" i="4"/>
  <c r="E48" i="6"/>
  <c r="B48" i="4"/>
  <c r="C65" i="12" s="1"/>
  <c r="K47" i="4"/>
  <c r="H47" i="4"/>
  <c r="K46" i="4"/>
  <c r="B47" i="4"/>
  <c r="C64" i="12" s="1"/>
  <c r="F48" i="4"/>
  <c r="G65" i="12" s="1"/>
  <c r="M65" i="12" s="1"/>
  <c r="H15" i="6"/>
  <c r="H16" i="6"/>
  <c r="H27" i="6"/>
  <c r="H28" i="6"/>
  <c r="H39" i="6"/>
  <c r="H40" i="6"/>
  <c r="H51" i="6"/>
  <c r="H52" i="6"/>
  <c r="G4" i="4"/>
  <c r="M6" i="6"/>
  <c r="M12" i="6"/>
  <c r="M18" i="6"/>
  <c r="M24" i="6"/>
  <c r="M30" i="6"/>
  <c r="M36" i="6"/>
  <c r="M42" i="6"/>
  <c r="M48" i="6"/>
  <c r="M17" i="6"/>
  <c r="M29" i="6"/>
  <c r="M41" i="6"/>
  <c r="M8" i="6"/>
  <c r="AA5" i="2"/>
  <c r="E3" i="6"/>
  <c r="AO3" i="2"/>
  <c r="L1" i="4" s="1"/>
  <c r="L18" i="12" s="1"/>
  <c r="AO4" i="2"/>
  <c r="L2" i="4" s="1"/>
  <c r="L19" i="12" s="1"/>
  <c r="G3" i="4"/>
  <c r="N20" i="12" s="1"/>
  <c r="M5" i="6"/>
  <c r="AO7" i="2"/>
  <c r="L5" i="4" s="1"/>
  <c r="L22" i="12" s="1"/>
  <c r="AA8" i="2"/>
  <c r="AB8" i="2"/>
  <c r="AO6" i="2"/>
  <c r="L4" i="4" s="1"/>
  <c r="L21" i="12" s="1"/>
  <c r="AB5" i="2"/>
  <c r="K5" i="6" s="1"/>
  <c r="AB13" i="2"/>
  <c r="AB7" i="2"/>
  <c r="AA6" i="2"/>
  <c r="AC6" i="2" s="1"/>
  <c r="AA7" i="2"/>
  <c r="AC7" i="2" s="1"/>
  <c r="B17" i="4"/>
  <c r="C34" i="12" s="1"/>
  <c r="AB10" i="2"/>
  <c r="AA9" i="2"/>
  <c r="AA10" i="2"/>
  <c r="AC10" i="2" s="1"/>
  <c r="B20" i="4"/>
  <c r="C37" i="12" s="1"/>
  <c r="AA12" i="2"/>
  <c r="AC12" i="2" s="1"/>
  <c r="AA13" i="2"/>
  <c r="AC13" i="2" s="1"/>
  <c r="B23" i="4"/>
  <c r="C40" i="12" s="1"/>
  <c r="Y7" i="2"/>
  <c r="F5" i="4" s="1"/>
  <c r="F17" i="4"/>
  <c r="Y31" i="2"/>
  <c r="F29" i="4" s="1"/>
  <c r="Y43" i="2"/>
  <c r="F41" i="4" s="1"/>
  <c r="Y8" i="2"/>
  <c r="F21" i="4"/>
  <c r="G38" i="12" s="1"/>
  <c r="M38" i="12" s="1"/>
  <c r="Y35" i="2"/>
  <c r="Y47" i="2"/>
  <c r="Y4" i="2"/>
  <c r="Y9" i="2"/>
  <c r="F7" i="4" s="1"/>
  <c r="F19" i="4"/>
  <c r="Y33" i="2"/>
  <c r="F31" i="4" s="1"/>
  <c r="Y45" i="2"/>
  <c r="F43" i="4" s="1"/>
  <c r="Y14" i="2"/>
  <c r="Y26" i="2"/>
  <c r="Y38" i="2"/>
  <c r="Y5" i="2"/>
  <c r="Y13" i="2"/>
  <c r="F11" i="4" s="1"/>
  <c r="F23" i="4"/>
  <c r="Y37" i="2"/>
  <c r="F35" i="4" s="1"/>
  <c r="F47" i="4"/>
  <c r="F15" i="4"/>
  <c r="G32" i="12" s="1"/>
  <c r="M32" i="12" s="1"/>
  <c r="Y29" i="2"/>
  <c r="Y41" i="2"/>
  <c r="F51" i="4"/>
  <c r="G68" i="12" s="1"/>
  <c r="M68" i="12" s="1"/>
  <c r="F13" i="4"/>
  <c r="Y27" i="2"/>
  <c r="F25" i="4" s="1"/>
  <c r="Y40" i="2"/>
  <c r="F38" i="4" s="1"/>
  <c r="F49" i="4"/>
  <c r="F18" i="4"/>
  <c r="G35" i="12" s="1"/>
  <c r="Y32" i="2"/>
  <c r="Y44" i="2"/>
  <c r="Y11" i="2"/>
  <c r="AB4" i="2"/>
  <c r="Y12" i="2"/>
  <c r="F10" i="4" s="1"/>
  <c r="Y6" i="2"/>
  <c r="F46" i="4"/>
  <c r="Y3" i="2"/>
  <c r="Y36" i="2"/>
  <c r="F34" i="4" s="1"/>
  <c r="Y42" i="2"/>
  <c r="F40" i="4" s="1"/>
  <c r="F16" i="4"/>
  <c r="Y30" i="2"/>
  <c r="F28" i="4" s="1"/>
  <c r="F50" i="4"/>
  <c r="Y46" i="2"/>
  <c r="F44" i="4" s="1"/>
  <c r="Y39" i="2"/>
  <c r="F37" i="4" s="1"/>
  <c r="Y34" i="2"/>
  <c r="F32" i="4" s="1"/>
  <c r="Y28" i="2"/>
  <c r="F26" i="4" s="1"/>
  <c r="F22" i="4"/>
  <c r="F20" i="4"/>
  <c r="F14" i="4"/>
  <c r="Y10" i="2"/>
  <c r="F8" i="4" s="1"/>
  <c r="Z17" i="7" l="1"/>
  <c r="AA17" i="7" s="1"/>
  <c r="M35" i="12"/>
  <c r="AM6" i="2"/>
  <c r="J4" i="4" s="1"/>
  <c r="AC36" i="2"/>
  <c r="AF36" i="2" s="1"/>
  <c r="AC42" i="2"/>
  <c r="AF42" i="2" s="1"/>
  <c r="AF27" i="2"/>
  <c r="AC45" i="2"/>
  <c r="AF45" i="2" s="1"/>
  <c r="AC33" i="2"/>
  <c r="AF33" i="2" s="1"/>
  <c r="AC39" i="2"/>
  <c r="AF39" i="2" s="1"/>
  <c r="AF30" i="2"/>
  <c r="AF12" i="2"/>
  <c r="AC9" i="2"/>
  <c r="AF9" i="2" s="1"/>
  <c r="N55" i="12"/>
  <c r="M55" i="12"/>
  <c r="N51" i="12"/>
  <c r="M51" i="12"/>
  <c r="N46" i="12"/>
  <c r="M46" i="12"/>
  <c r="N48" i="12"/>
  <c r="M48" i="12"/>
  <c r="N42" i="12"/>
  <c r="M42" i="12"/>
  <c r="N36" i="12"/>
  <c r="M36" i="12"/>
  <c r="N54" i="12"/>
  <c r="M54" i="12"/>
  <c r="N39" i="12"/>
  <c r="M39" i="12"/>
  <c r="N45" i="12"/>
  <c r="M45" i="12"/>
  <c r="N43" i="12"/>
  <c r="M43" i="12"/>
  <c r="AF6" i="2"/>
  <c r="N19" i="12"/>
  <c r="M19" i="12"/>
  <c r="N18" i="12"/>
  <c r="M18" i="12"/>
  <c r="N34" i="12"/>
  <c r="M34" i="12"/>
  <c r="N30" i="12"/>
  <c r="M30" i="12"/>
  <c r="N24" i="12"/>
  <c r="M24" i="12"/>
  <c r="N28" i="12"/>
  <c r="M28" i="12"/>
  <c r="N33" i="12"/>
  <c r="M33" i="12"/>
  <c r="N27" i="12"/>
  <c r="M27" i="12"/>
  <c r="N31" i="12"/>
  <c r="M31" i="12"/>
  <c r="N25" i="12"/>
  <c r="M25" i="12"/>
  <c r="N22" i="12"/>
  <c r="M22" i="12"/>
  <c r="N21" i="12"/>
  <c r="M21" i="12"/>
  <c r="N23" i="12"/>
  <c r="Z10" i="7"/>
  <c r="AA10" i="7" s="1"/>
  <c r="X12" i="7"/>
  <c r="Y12" i="7" s="1"/>
  <c r="AL7" i="2"/>
  <c r="I5" i="4" s="1"/>
  <c r="X22" i="7"/>
  <c r="Y22" i="7" s="1"/>
  <c r="Z22" i="7"/>
  <c r="AA22" i="7" s="1"/>
  <c r="X18" i="7"/>
  <c r="Y18" i="7" s="1"/>
  <c r="AG14" i="2"/>
  <c r="AG47" i="2"/>
  <c r="X19" i="7"/>
  <c r="Y19" i="7" s="1"/>
  <c r="X11" i="7"/>
  <c r="Y11" i="7" s="1"/>
  <c r="X13" i="7"/>
  <c r="Y13" i="7" s="1"/>
  <c r="X20" i="7"/>
  <c r="Y20" i="7" s="1"/>
  <c r="AG44" i="2"/>
  <c r="Z20" i="7"/>
  <c r="AA20" i="7" s="1"/>
  <c r="Z19" i="7"/>
  <c r="AA19" i="7" s="1"/>
  <c r="Z21" i="7"/>
  <c r="AA21" i="7" s="1"/>
  <c r="Z18" i="7"/>
  <c r="AA18" i="7" s="1"/>
  <c r="X17" i="7"/>
  <c r="Y17" i="7" s="1"/>
  <c r="Z13" i="7"/>
  <c r="AA13" i="7" s="1"/>
  <c r="Z12" i="7"/>
  <c r="AA12" i="7" s="1"/>
  <c r="Z11" i="7"/>
  <c r="AA11" i="7" s="1"/>
  <c r="X10" i="7"/>
  <c r="Y10" i="7" s="1"/>
  <c r="AP5" i="2"/>
  <c r="X24" i="7"/>
  <c r="Y24" i="7" s="1"/>
  <c r="X23" i="7"/>
  <c r="Y23" i="7" s="1"/>
  <c r="AG41" i="2"/>
  <c r="AG38" i="2"/>
  <c r="AG11" i="2"/>
  <c r="AG32" i="2"/>
  <c r="AG29" i="2"/>
  <c r="AG26" i="2"/>
  <c r="AL17" i="7" s="1"/>
  <c r="AM17" i="7" s="1"/>
  <c r="AG8" i="2"/>
  <c r="AK7" i="2"/>
  <c r="H5" i="4" s="1"/>
  <c r="AM7" i="2"/>
  <c r="J5" i="4" s="1"/>
  <c r="AG35" i="2"/>
  <c r="Z23" i="7"/>
  <c r="AA23" i="7" s="1"/>
  <c r="Z24" i="7"/>
  <c r="AA24" i="7" s="1"/>
  <c r="AL6" i="2"/>
  <c r="I4" i="4" s="1"/>
  <c r="H4" i="4"/>
  <c r="F42" i="4"/>
  <c r="G59" i="12" s="1"/>
  <c r="M59" i="12" s="1"/>
  <c r="F39" i="4"/>
  <c r="G56" i="12" s="1"/>
  <c r="M56" i="12" s="1"/>
  <c r="F9" i="4"/>
  <c r="G26" i="12" s="1"/>
  <c r="M26" i="12" s="1"/>
  <c r="F30" i="4"/>
  <c r="G47" i="12" s="1"/>
  <c r="M47" i="12" s="1"/>
  <c r="F27" i="4"/>
  <c r="G44" i="12" s="1"/>
  <c r="M44" i="12" s="1"/>
  <c r="F24" i="4"/>
  <c r="G41" i="12" s="1"/>
  <c r="M41" i="12" s="1"/>
  <c r="F33" i="4"/>
  <c r="G50" i="12" s="1"/>
  <c r="M50" i="12" s="1"/>
  <c r="F36" i="4"/>
  <c r="G53" i="12" s="1"/>
  <c r="M53" i="12" s="1"/>
  <c r="F12" i="4"/>
  <c r="G29" i="12" s="1"/>
  <c r="M29" i="12" s="1"/>
  <c r="F45" i="4"/>
  <c r="G62" i="12" s="1"/>
  <c r="M62" i="12" s="1"/>
  <c r="B35" i="4"/>
  <c r="C52" i="12" s="1"/>
  <c r="B33" i="4"/>
  <c r="C50" i="12" s="1"/>
  <c r="AP35" i="2"/>
  <c r="B41" i="4"/>
  <c r="C58" i="12" s="1"/>
  <c r="B26" i="4"/>
  <c r="C43" i="12" s="1"/>
  <c r="B44" i="4"/>
  <c r="C61" i="12" s="1"/>
  <c r="B29" i="4"/>
  <c r="C46" i="12" s="1"/>
  <c r="F6" i="4"/>
  <c r="G23" i="12" s="1"/>
  <c r="M23" i="12" s="1"/>
  <c r="B36" i="4"/>
  <c r="C53" i="12" s="1"/>
  <c r="AP38" i="2"/>
  <c r="AP14" i="2"/>
  <c r="B32" i="4"/>
  <c r="C49" i="12" s="1"/>
  <c r="B43" i="4"/>
  <c r="C60" i="12" s="1"/>
  <c r="B27" i="4"/>
  <c r="C44" i="12" s="1"/>
  <c r="AP29" i="2"/>
  <c r="B45" i="4"/>
  <c r="C62" i="12" s="1"/>
  <c r="AP47" i="2"/>
  <c r="AP11" i="2"/>
  <c r="B39" i="4"/>
  <c r="C56" i="12" s="1"/>
  <c r="AP41" i="2"/>
  <c r="AP8" i="2"/>
  <c r="B24" i="4"/>
  <c r="C41" i="12" s="1"/>
  <c r="AP26" i="2"/>
  <c r="B42" i="4"/>
  <c r="C59" i="12" s="1"/>
  <c r="AP44" i="2"/>
  <c r="B40" i="4"/>
  <c r="C57" i="12" s="1"/>
  <c r="B30" i="4"/>
  <c r="C47" i="12" s="1"/>
  <c r="AP32" i="2"/>
  <c r="K51" i="6"/>
  <c r="C49" i="4"/>
  <c r="D66" i="12" s="1"/>
  <c r="L50" i="6"/>
  <c r="D48" i="4"/>
  <c r="E65" i="12" s="1"/>
  <c r="K45" i="6"/>
  <c r="C43" i="4"/>
  <c r="D60" i="12" s="1"/>
  <c r="K49" i="6"/>
  <c r="C47" i="4"/>
  <c r="D64" i="12" s="1"/>
  <c r="K50" i="6"/>
  <c r="C48" i="4"/>
  <c r="D65" i="12" s="1"/>
  <c r="K46" i="6"/>
  <c r="C44" i="4"/>
  <c r="D61" i="12" s="1"/>
  <c r="L47" i="6"/>
  <c r="D45" i="4"/>
  <c r="E62" i="12" s="1"/>
  <c r="K48" i="6"/>
  <c r="C46" i="4"/>
  <c r="D63" i="12" s="1"/>
  <c r="K47" i="6"/>
  <c r="C45" i="4"/>
  <c r="D62" i="12" s="1"/>
  <c r="B25" i="4"/>
  <c r="C42" i="12" s="1"/>
  <c r="B22" i="4"/>
  <c r="C39" i="12" s="1"/>
  <c r="B19" i="4"/>
  <c r="C36" i="12" s="1"/>
  <c r="B18" i="4"/>
  <c r="C35" i="12" s="1"/>
  <c r="B16" i="4"/>
  <c r="C33" i="12" s="1"/>
  <c r="B14" i="4"/>
  <c r="C31" i="12" s="1"/>
  <c r="B15" i="4"/>
  <c r="C32" i="12" s="1"/>
  <c r="B13" i="4"/>
  <c r="C30" i="12" s="1"/>
  <c r="B11" i="4"/>
  <c r="C28" i="12" s="1"/>
  <c r="B10" i="4"/>
  <c r="C27" i="12" s="1"/>
  <c r="B12" i="4"/>
  <c r="C29" i="12" s="1"/>
  <c r="B8" i="4"/>
  <c r="C25" i="12" s="1"/>
  <c r="B7" i="4"/>
  <c r="C24" i="12" s="1"/>
  <c r="B9" i="4"/>
  <c r="C26" i="12" s="1"/>
  <c r="D6" i="4"/>
  <c r="E23" i="12" s="1"/>
  <c r="B5" i="4"/>
  <c r="C22" i="12" s="1"/>
  <c r="C6" i="4"/>
  <c r="D23" i="12" s="1"/>
  <c r="C5" i="4"/>
  <c r="D22" i="12" s="1"/>
  <c r="B6" i="4"/>
  <c r="C23" i="12" s="1"/>
  <c r="B28" i="4"/>
  <c r="C45" i="12" s="1"/>
  <c r="B34" i="4"/>
  <c r="C51" i="12" s="1"/>
  <c r="B31" i="4"/>
  <c r="C48" i="12" s="1"/>
  <c r="L25" i="4"/>
  <c r="L42" i="12" s="1"/>
  <c r="K19" i="4"/>
  <c r="J22" i="4"/>
  <c r="L19" i="4"/>
  <c r="L36" i="12" s="1"/>
  <c r="J25" i="4"/>
  <c r="K22" i="4"/>
  <c r="L22" i="4"/>
  <c r="L39" i="12" s="1"/>
  <c r="J19" i="4"/>
  <c r="K25" i="4"/>
  <c r="L34" i="4"/>
  <c r="L51" i="12" s="1"/>
  <c r="J34" i="4"/>
  <c r="K34" i="4"/>
  <c r="K31" i="4"/>
  <c r="J31" i="4"/>
  <c r="L31" i="4"/>
  <c r="L48" i="12" s="1"/>
  <c r="K28" i="4"/>
  <c r="J28" i="4"/>
  <c r="L28" i="4"/>
  <c r="L45" i="12" s="1"/>
  <c r="L44" i="6"/>
  <c r="D42" i="4"/>
  <c r="E59" i="12" s="1"/>
  <c r="K42" i="6"/>
  <c r="C40" i="4"/>
  <c r="D57" i="12" s="1"/>
  <c r="K44" i="6"/>
  <c r="C42" i="4"/>
  <c r="D59" i="12" s="1"/>
  <c r="K43" i="6"/>
  <c r="C41" i="4"/>
  <c r="D58" i="12" s="1"/>
  <c r="K38" i="4"/>
  <c r="I38" i="4"/>
  <c r="J37" i="4"/>
  <c r="H38" i="4"/>
  <c r="L37" i="4"/>
  <c r="L54" i="12" s="1"/>
  <c r="J38" i="4"/>
  <c r="K37" i="4"/>
  <c r="L38" i="4"/>
  <c r="L55" i="12" s="1"/>
  <c r="L41" i="6"/>
  <c r="D39" i="4"/>
  <c r="E56" i="12" s="1"/>
  <c r="B38" i="4"/>
  <c r="C55" i="12" s="1"/>
  <c r="K41" i="6"/>
  <c r="C39" i="4"/>
  <c r="D56" i="12" s="1"/>
  <c r="K39" i="6"/>
  <c r="C37" i="4"/>
  <c r="D54" i="12" s="1"/>
  <c r="K40" i="6"/>
  <c r="C38" i="4"/>
  <c r="D55" i="12" s="1"/>
  <c r="B37" i="4"/>
  <c r="C54" i="12" s="1"/>
  <c r="L26" i="6"/>
  <c r="D24" i="4"/>
  <c r="E41" i="12" s="1"/>
  <c r="K37" i="6"/>
  <c r="C35" i="4"/>
  <c r="D52" i="12" s="1"/>
  <c r="K33" i="6"/>
  <c r="C31" i="4"/>
  <c r="D48" i="12" s="1"/>
  <c r="K35" i="6"/>
  <c r="C33" i="4"/>
  <c r="D50" i="12" s="1"/>
  <c r="K27" i="6"/>
  <c r="C25" i="4"/>
  <c r="D42" i="12" s="1"/>
  <c r="K30" i="6"/>
  <c r="C28" i="4"/>
  <c r="D45" i="12" s="1"/>
  <c r="K24" i="6"/>
  <c r="C22" i="4"/>
  <c r="D39" i="12" s="1"/>
  <c r="K29" i="6"/>
  <c r="C27" i="4"/>
  <c r="D44" i="12" s="1"/>
  <c r="L32" i="6"/>
  <c r="D30" i="4"/>
  <c r="E47" i="12" s="1"/>
  <c r="K25" i="6"/>
  <c r="C23" i="4"/>
  <c r="D40" i="12" s="1"/>
  <c r="L35" i="6"/>
  <c r="D33" i="4"/>
  <c r="E50" i="12" s="1"/>
  <c r="K38" i="6"/>
  <c r="C36" i="4"/>
  <c r="D53" i="12" s="1"/>
  <c r="K26" i="6"/>
  <c r="C24" i="4"/>
  <c r="D41" i="12" s="1"/>
  <c r="K34" i="6"/>
  <c r="C32" i="4"/>
  <c r="D49" i="12" s="1"/>
  <c r="K28" i="6"/>
  <c r="C26" i="4"/>
  <c r="D43" i="12" s="1"/>
  <c r="K31" i="6"/>
  <c r="C29" i="4"/>
  <c r="D46" i="12" s="1"/>
  <c r="K32" i="6"/>
  <c r="C30" i="4"/>
  <c r="D47" i="12" s="1"/>
  <c r="L38" i="6"/>
  <c r="D36" i="4"/>
  <c r="E53" i="12" s="1"/>
  <c r="L29" i="6"/>
  <c r="D27" i="4"/>
  <c r="E44" i="12" s="1"/>
  <c r="K36" i="6"/>
  <c r="C34" i="4"/>
  <c r="D51" i="12" s="1"/>
  <c r="K21" i="6"/>
  <c r="C19" i="4"/>
  <c r="D36" i="12" s="1"/>
  <c r="K22" i="6"/>
  <c r="C20" i="4"/>
  <c r="D37" i="12" s="1"/>
  <c r="L21" i="6"/>
  <c r="D19" i="4"/>
  <c r="E36" i="12" s="1"/>
  <c r="L23" i="6"/>
  <c r="D21" i="4"/>
  <c r="E38" i="12" s="1"/>
  <c r="K23" i="6"/>
  <c r="C21" i="4"/>
  <c r="D38" i="12" s="1"/>
  <c r="K12" i="6"/>
  <c r="C10" i="4"/>
  <c r="D27" i="12" s="1"/>
  <c r="K14" i="6"/>
  <c r="C12" i="4"/>
  <c r="D29" i="12" s="1"/>
  <c r="L20" i="6"/>
  <c r="D18" i="4"/>
  <c r="E35" i="12" s="1"/>
  <c r="L11" i="6"/>
  <c r="D9" i="4"/>
  <c r="E26" i="12" s="1"/>
  <c r="K13" i="6"/>
  <c r="C11" i="4"/>
  <c r="D28" i="12" s="1"/>
  <c r="K18" i="6"/>
  <c r="C16" i="4"/>
  <c r="D33" i="12" s="1"/>
  <c r="K9" i="6"/>
  <c r="C7" i="4"/>
  <c r="D24" i="12" s="1"/>
  <c r="L17" i="6"/>
  <c r="D15" i="4"/>
  <c r="E32" i="12" s="1"/>
  <c r="K17" i="6"/>
  <c r="C15" i="4"/>
  <c r="D32" i="12" s="1"/>
  <c r="K15" i="6"/>
  <c r="C13" i="4"/>
  <c r="D30" i="12" s="1"/>
  <c r="K10" i="6"/>
  <c r="C8" i="4"/>
  <c r="D25" i="12" s="1"/>
  <c r="K19" i="6"/>
  <c r="C17" i="4"/>
  <c r="D34" i="12" s="1"/>
  <c r="L14" i="6"/>
  <c r="D12" i="4"/>
  <c r="E29" i="12" s="1"/>
  <c r="K16" i="6"/>
  <c r="C14" i="4"/>
  <c r="D31" i="12" s="1"/>
  <c r="K20" i="6"/>
  <c r="C18" i="4"/>
  <c r="D35" i="12" s="1"/>
  <c r="K11" i="6"/>
  <c r="C9" i="4"/>
  <c r="D26" i="12" s="1"/>
  <c r="L19" i="6"/>
  <c r="D17" i="4"/>
  <c r="E34" i="12" s="1"/>
  <c r="K52" i="6"/>
  <c r="L53" i="6"/>
  <c r="K53" i="6"/>
  <c r="J50" i="6"/>
  <c r="J37" i="6"/>
  <c r="J35" i="6"/>
  <c r="J42" i="6"/>
  <c r="J29" i="6"/>
  <c r="J46" i="6"/>
  <c r="J30" i="6"/>
  <c r="J25" i="6"/>
  <c r="J23" i="6"/>
  <c r="J20" i="6"/>
  <c r="J28" i="6"/>
  <c r="J13" i="6"/>
  <c r="J19" i="6"/>
  <c r="J36" i="6"/>
  <c r="J16" i="6"/>
  <c r="J24" i="6"/>
  <c r="J21" i="6"/>
  <c r="J38" i="6"/>
  <c r="J14" i="6"/>
  <c r="J45" i="6"/>
  <c r="J43" i="6"/>
  <c r="J52" i="6"/>
  <c r="J27" i="6"/>
  <c r="J51" i="6"/>
  <c r="J15" i="6"/>
  <c r="J12" i="6"/>
  <c r="J9" i="6"/>
  <c r="J18" i="6"/>
  <c r="J48" i="6"/>
  <c r="J53" i="6"/>
  <c r="J47" i="6"/>
  <c r="J22" i="6"/>
  <c r="J33" i="6"/>
  <c r="J39" i="6"/>
  <c r="J10" i="6"/>
  <c r="J6" i="6"/>
  <c r="J49" i="6"/>
  <c r="J26" i="6"/>
  <c r="J34" i="6"/>
  <c r="J44" i="6"/>
  <c r="J11" i="6"/>
  <c r="J31" i="6"/>
  <c r="J32" i="6"/>
  <c r="J40" i="6"/>
  <c r="J41" i="6"/>
  <c r="J17" i="6"/>
  <c r="J5" i="6"/>
  <c r="K6" i="6"/>
  <c r="K7" i="6"/>
  <c r="L8" i="6"/>
  <c r="K8" i="6"/>
  <c r="J8" i="6"/>
  <c r="J7" i="6"/>
  <c r="L5" i="6"/>
  <c r="K3" i="6"/>
  <c r="K4" i="6"/>
  <c r="F2" i="4"/>
  <c r="F3" i="4"/>
  <c r="G20" i="12" s="1"/>
  <c r="M20" i="12" s="1"/>
  <c r="F4" i="4"/>
  <c r="F1" i="4"/>
  <c r="AI45" i="2"/>
  <c r="AD24" i="7" s="1"/>
  <c r="AJ24" i="7" s="1"/>
  <c r="AI42" i="2"/>
  <c r="AD23" i="7" s="1"/>
  <c r="AJ23" i="7" s="1"/>
  <c r="AI39" i="2"/>
  <c r="AD22" i="7" s="1"/>
  <c r="AJ22" i="7" s="1"/>
  <c r="AI36" i="2"/>
  <c r="AD21" i="7" s="1"/>
  <c r="AJ21" i="7" s="1"/>
  <c r="AI33" i="2"/>
  <c r="AD20" i="7" s="1"/>
  <c r="AJ20" i="7" s="1"/>
  <c r="AI30" i="2"/>
  <c r="AD19" i="7" s="1"/>
  <c r="AJ19" i="7" s="1"/>
  <c r="AI27" i="2"/>
  <c r="AD18" i="7" s="1"/>
  <c r="AJ18" i="7" s="1"/>
  <c r="AI12" i="2"/>
  <c r="AD13" i="7" s="1"/>
  <c r="AJ13" i="7" s="1"/>
  <c r="AI6" i="2"/>
  <c r="AD11" i="7" s="1"/>
  <c r="AJ11" i="7" s="1"/>
  <c r="L11" i="12" l="1"/>
  <c r="O18" i="12" s="1"/>
  <c r="D12" i="12"/>
  <c r="C12" i="12" s="1"/>
  <c r="D11" i="12"/>
  <c r="C11" i="12" s="1"/>
  <c r="P17" i="7"/>
  <c r="O17" i="7" s="1"/>
  <c r="N17" i="7" s="1"/>
  <c r="J17" i="7" s="1"/>
  <c r="AA41" i="7"/>
  <c r="X41" i="7"/>
  <c r="Y41" i="7"/>
  <c r="AE24" i="7"/>
  <c r="AR24" i="7"/>
  <c r="AS24" i="7" s="1"/>
  <c r="AE23" i="7"/>
  <c r="AR23" i="7"/>
  <c r="AS23" i="7" s="1"/>
  <c r="Z41" i="7"/>
  <c r="AE22" i="7"/>
  <c r="AR22" i="7"/>
  <c r="AS22" i="7" s="1"/>
  <c r="AE21" i="7"/>
  <c r="AR21" i="7"/>
  <c r="AS21" i="7" s="1"/>
  <c r="AE20" i="7"/>
  <c r="AR20" i="7"/>
  <c r="AS20" i="7" s="1"/>
  <c r="AE19" i="7"/>
  <c r="AR19" i="7"/>
  <c r="AS19" i="7" s="1"/>
  <c r="AE18" i="7"/>
  <c r="AR18" i="7"/>
  <c r="AS18" i="7" s="1"/>
  <c r="AE13" i="7"/>
  <c r="AR13" i="7"/>
  <c r="AS13" i="7" s="1"/>
  <c r="AR12" i="7"/>
  <c r="AS12" i="7" s="1"/>
  <c r="AE11" i="7"/>
  <c r="AR11" i="7"/>
  <c r="AS11" i="7" s="1"/>
  <c r="AP94" i="2"/>
  <c r="L10" i="2" s="1"/>
  <c r="C3" i="4"/>
  <c r="D20" i="12" s="1"/>
  <c r="B3" i="4"/>
  <c r="C20" i="12" s="1"/>
  <c r="AR10" i="7"/>
  <c r="AE12" i="7" l="1"/>
  <c r="AJ12" i="7"/>
  <c r="AK12" i="7" s="1"/>
  <c r="AK24" i="7"/>
  <c r="K18" i="12"/>
  <c r="J18" i="12"/>
  <c r="H18" i="12"/>
  <c r="I18" i="12"/>
  <c r="O24" i="12"/>
  <c r="O20" i="12"/>
  <c r="O19" i="12"/>
  <c r="P51" i="12"/>
  <c r="B51" i="12" s="1"/>
  <c r="P39" i="12"/>
  <c r="B39" i="12" s="1"/>
  <c r="P34" i="12"/>
  <c r="B34" i="12" s="1"/>
  <c r="P30" i="12"/>
  <c r="B30" i="12" s="1"/>
  <c r="P43" i="12"/>
  <c r="B43" i="12" s="1"/>
  <c r="P44" i="12"/>
  <c r="B44" i="12" s="1"/>
  <c r="P50" i="12"/>
  <c r="B50" i="12" s="1"/>
  <c r="P46" i="12"/>
  <c r="B46" i="12" s="1"/>
  <c r="P36" i="12"/>
  <c r="B36" i="12" s="1"/>
  <c r="P28" i="12"/>
  <c r="B28" i="12" s="1"/>
  <c r="P45" i="12"/>
  <c r="B45" i="12" s="1"/>
  <c r="P56" i="12"/>
  <c r="B56" i="12" s="1"/>
  <c r="P29" i="12"/>
  <c r="B29" i="12" s="1"/>
  <c r="P35" i="12"/>
  <c r="B35" i="12" s="1"/>
  <c r="P38" i="12"/>
  <c r="B38" i="12" s="1"/>
  <c r="P65" i="12"/>
  <c r="B65" i="12" s="1"/>
  <c r="P69" i="12"/>
  <c r="B69" i="12" s="1"/>
  <c r="P42" i="12"/>
  <c r="B42" i="12" s="1"/>
  <c r="P47" i="12"/>
  <c r="B47" i="12" s="1"/>
  <c r="P41" i="12"/>
  <c r="B41" i="12" s="1"/>
  <c r="P48" i="12"/>
  <c r="B48" i="12" s="1"/>
  <c r="P54" i="12"/>
  <c r="B54" i="12" s="1"/>
  <c r="P27" i="12"/>
  <c r="B27" i="12" s="1"/>
  <c r="P59" i="12"/>
  <c r="B59" i="12" s="1"/>
  <c r="P53" i="12"/>
  <c r="B53" i="12" s="1"/>
  <c r="P62" i="12"/>
  <c r="B62" i="12" s="1"/>
  <c r="P68" i="12"/>
  <c r="B68" i="12" s="1"/>
  <c r="P32" i="12"/>
  <c r="B32" i="12" s="1"/>
  <c r="P33" i="12"/>
  <c r="B33" i="12" s="1"/>
  <c r="P96" i="12"/>
  <c r="B96" i="12" s="1"/>
  <c r="P90" i="12"/>
  <c r="B90" i="12" s="1"/>
  <c r="P79" i="12"/>
  <c r="B79" i="12" s="1"/>
  <c r="P74" i="12"/>
  <c r="B74" i="12" s="1"/>
  <c r="P64" i="12"/>
  <c r="B64" i="12" s="1"/>
  <c r="P85" i="12"/>
  <c r="B85" i="12" s="1"/>
  <c r="P66" i="12"/>
  <c r="B66" i="12" s="1"/>
  <c r="P82" i="12"/>
  <c r="B82" i="12" s="1"/>
  <c r="P102" i="12"/>
  <c r="B102" i="12" s="1"/>
  <c r="P60" i="12"/>
  <c r="B60" i="12" s="1"/>
  <c r="P75" i="12"/>
  <c r="B75" i="12" s="1"/>
  <c r="P103" i="12"/>
  <c r="B103" i="12" s="1"/>
  <c r="P73" i="12"/>
  <c r="B73" i="12" s="1"/>
  <c r="P97" i="12"/>
  <c r="B97" i="12" s="1"/>
  <c r="P70" i="12"/>
  <c r="B70" i="12" s="1"/>
  <c r="P91" i="12"/>
  <c r="B91" i="12" s="1"/>
  <c r="P106" i="12"/>
  <c r="B106" i="12" s="1"/>
  <c r="P95" i="12"/>
  <c r="B95" i="12" s="1"/>
  <c r="P107" i="12"/>
  <c r="B107" i="12" s="1"/>
  <c r="P86" i="12"/>
  <c r="B86" i="12" s="1"/>
  <c r="P101" i="12"/>
  <c r="B101" i="12" s="1"/>
  <c r="P71" i="12"/>
  <c r="B71" i="12" s="1"/>
  <c r="P49" i="12"/>
  <c r="B49" i="12" s="1"/>
  <c r="P37" i="12"/>
  <c r="B37" i="12" s="1"/>
  <c r="P40" i="12"/>
  <c r="B40" i="12" s="1"/>
  <c r="P31" i="12"/>
  <c r="B31" i="12" s="1"/>
  <c r="P94" i="12"/>
  <c r="B94" i="12" s="1"/>
  <c r="P99" i="12"/>
  <c r="B99" i="12" s="1"/>
  <c r="P67" i="12"/>
  <c r="B67" i="12" s="1"/>
  <c r="P88" i="12"/>
  <c r="B88" i="12" s="1"/>
  <c r="P89" i="12"/>
  <c r="B89" i="12" s="1"/>
  <c r="P72" i="12"/>
  <c r="B72" i="12" s="1"/>
  <c r="P105" i="12"/>
  <c r="B105" i="12" s="1"/>
  <c r="P78" i="12"/>
  <c r="B78" i="12" s="1"/>
  <c r="P93" i="12"/>
  <c r="B93" i="12" s="1"/>
  <c r="P84" i="12"/>
  <c r="B84" i="12" s="1"/>
  <c r="P63" i="12"/>
  <c r="B63" i="12" s="1"/>
  <c r="P104" i="12"/>
  <c r="B104" i="12" s="1"/>
  <c r="P76" i="12"/>
  <c r="B76" i="12" s="1"/>
  <c r="P81" i="12"/>
  <c r="B81" i="12" s="1"/>
  <c r="P61" i="12"/>
  <c r="B61" i="12" s="1"/>
  <c r="P100" i="12"/>
  <c r="B100" i="12" s="1"/>
  <c r="P87" i="12"/>
  <c r="B87" i="12" s="1"/>
  <c r="P92" i="12"/>
  <c r="B92" i="12" s="1"/>
  <c r="P77" i="12"/>
  <c r="B77" i="12" s="1"/>
  <c r="P98" i="12"/>
  <c r="B98" i="12" s="1"/>
  <c r="P83" i="12"/>
  <c r="B83" i="12" s="1"/>
  <c r="P80" i="12"/>
  <c r="B80" i="12" s="1"/>
  <c r="P52" i="12"/>
  <c r="B52" i="12" s="1"/>
  <c r="P58" i="12"/>
  <c r="B58" i="12" s="1"/>
  <c r="P57" i="12"/>
  <c r="B57" i="12" s="1"/>
  <c r="P55" i="12"/>
  <c r="B55" i="12" s="1"/>
  <c r="O35" i="12"/>
  <c r="O43" i="12"/>
  <c r="O28" i="12"/>
  <c r="O42" i="12"/>
  <c r="O55" i="12"/>
  <c r="O27" i="12"/>
  <c r="O30" i="12"/>
  <c r="O34" i="12"/>
  <c r="O31" i="12"/>
  <c r="O29" i="12"/>
  <c r="O51" i="12"/>
  <c r="O48" i="12"/>
  <c r="O54" i="12"/>
  <c r="O45" i="12"/>
  <c r="O94" i="12"/>
  <c r="O63" i="12"/>
  <c r="O88" i="12"/>
  <c r="O73" i="12"/>
  <c r="O105" i="12"/>
  <c r="O78" i="12"/>
  <c r="O91" i="12"/>
  <c r="O89" i="12"/>
  <c r="O86" i="12"/>
  <c r="O77" i="12"/>
  <c r="O95" i="12"/>
  <c r="O67" i="12"/>
  <c r="O103" i="12"/>
  <c r="O76" i="12"/>
  <c r="O97" i="12"/>
  <c r="O70" i="12"/>
  <c r="O82" i="12"/>
  <c r="O102" i="12"/>
  <c r="O65" i="12"/>
  <c r="O71" i="12"/>
  <c r="O92" i="12"/>
  <c r="O83" i="12"/>
  <c r="O96" i="12"/>
  <c r="O101" i="12"/>
  <c r="O53" i="12"/>
  <c r="O41" i="12"/>
  <c r="O50" i="12"/>
  <c r="O38" i="12"/>
  <c r="O57" i="12"/>
  <c r="O58" i="12"/>
  <c r="O49" i="12"/>
  <c r="O32" i="12"/>
  <c r="O33" i="12"/>
  <c r="O46" i="12"/>
  <c r="O36" i="12"/>
  <c r="O39" i="12"/>
  <c r="O69" i="12"/>
  <c r="O60" i="12"/>
  <c r="O79" i="12"/>
  <c r="O72" i="12"/>
  <c r="O85" i="12"/>
  <c r="O66" i="12"/>
  <c r="O100" i="12"/>
  <c r="O106" i="12"/>
  <c r="O104" i="12"/>
  <c r="O80" i="12"/>
  <c r="O74" i="12"/>
  <c r="O90" i="12"/>
  <c r="O75" i="12"/>
  <c r="O64" i="12"/>
  <c r="O81" i="12"/>
  <c r="O61" i="12"/>
  <c r="O87" i="12"/>
  <c r="O93" i="12"/>
  <c r="O59" i="12"/>
  <c r="O62" i="12"/>
  <c r="O68" i="12"/>
  <c r="O107" i="12"/>
  <c r="O98" i="12"/>
  <c r="O99" i="12"/>
  <c r="O84" i="12"/>
  <c r="O47" i="12"/>
  <c r="O56" i="12"/>
  <c r="O44" i="12"/>
  <c r="O52" i="12"/>
  <c r="O40" i="12"/>
  <c r="O37" i="12"/>
  <c r="O26" i="12"/>
  <c r="O23" i="12"/>
  <c r="P22" i="12"/>
  <c r="B22" i="12" s="1"/>
  <c r="O25" i="12"/>
  <c r="P19" i="12"/>
  <c r="B19" i="12" s="1"/>
  <c r="P18" i="12"/>
  <c r="B18" i="12" s="1"/>
  <c r="O21" i="12"/>
  <c r="P25" i="12"/>
  <c r="B25" i="12" s="1"/>
  <c r="P23" i="12"/>
  <c r="B23" i="12" s="1"/>
  <c r="P21" i="12"/>
  <c r="B21" i="12" s="1"/>
  <c r="P26" i="12"/>
  <c r="B26" i="12" s="1"/>
  <c r="P20" i="12"/>
  <c r="B20" i="12" s="1"/>
  <c r="O22" i="12"/>
  <c r="P24" i="12"/>
  <c r="B24" i="12" s="1"/>
  <c r="AK23" i="7"/>
  <c r="AK19" i="7"/>
  <c r="AK22" i="7"/>
  <c r="AK13" i="7"/>
  <c r="AK18" i="7"/>
  <c r="AK20" i="7"/>
  <c r="AK11" i="7"/>
  <c r="AK21" i="7"/>
  <c r="AR41" i="7"/>
  <c r="AS10" i="7"/>
  <c r="AS41" i="7" s="1"/>
  <c r="L6" i="2"/>
  <c r="C2" i="4"/>
  <c r="D19" i="12" s="1"/>
  <c r="D50" i="4"/>
  <c r="E67" i="12" s="1"/>
  <c r="D49" i="4"/>
  <c r="E66" i="12" s="1"/>
  <c r="AE10" i="7" l="1"/>
  <c r="AJ10" i="7"/>
  <c r="K21" i="12"/>
  <c r="J21" i="12"/>
  <c r="K23" i="12"/>
  <c r="J23" i="12"/>
  <c r="H23" i="12"/>
  <c r="I23" i="12"/>
  <c r="K26" i="12"/>
  <c r="J26" i="12"/>
  <c r="H26" i="12"/>
  <c r="I26" i="12"/>
  <c r="K33" i="12"/>
  <c r="J33" i="12"/>
  <c r="K32" i="12"/>
  <c r="J32" i="12"/>
  <c r="I32" i="12"/>
  <c r="H32" i="12"/>
  <c r="J29" i="12"/>
  <c r="K29" i="12"/>
  <c r="H29" i="12"/>
  <c r="I29" i="12"/>
  <c r="K30" i="12"/>
  <c r="J30" i="12"/>
  <c r="K27" i="12"/>
  <c r="J27" i="12"/>
  <c r="H35" i="12"/>
  <c r="J35" i="12"/>
  <c r="I35" i="12"/>
  <c r="K35" i="12"/>
  <c r="K20" i="12"/>
  <c r="J20" i="12"/>
  <c r="I20" i="12"/>
  <c r="H20" i="12"/>
  <c r="J24" i="12"/>
  <c r="K24" i="12"/>
  <c r="J37" i="12"/>
  <c r="I37" i="12"/>
  <c r="H37" i="12"/>
  <c r="K37" i="12"/>
  <c r="H52" i="12"/>
  <c r="J52" i="12"/>
  <c r="K52" i="12"/>
  <c r="I52" i="12"/>
  <c r="H56" i="12"/>
  <c r="J56" i="12"/>
  <c r="K56" i="12"/>
  <c r="I56" i="12"/>
  <c r="J84" i="12"/>
  <c r="K84" i="12"/>
  <c r="H84" i="12"/>
  <c r="I84" i="12"/>
  <c r="J98" i="12"/>
  <c r="H98" i="12"/>
  <c r="I98" i="12"/>
  <c r="K98" i="12"/>
  <c r="J68" i="12"/>
  <c r="H68" i="12"/>
  <c r="K68" i="12"/>
  <c r="I68" i="12"/>
  <c r="J59" i="12"/>
  <c r="H59" i="12"/>
  <c r="I59" i="12"/>
  <c r="K59" i="12"/>
  <c r="H87" i="12"/>
  <c r="J87" i="12"/>
  <c r="K87" i="12"/>
  <c r="I87" i="12"/>
  <c r="H81" i="12"/>
  <c r="J81" i="12"/>
  <c r="K81" i="12"/>
  <c r="I81" i="12"/>
  <c r="J75" i="12"/>
  <c r="H75" i="12"/>
  <c r="I75" i="12"/>
  <c r="K75" i="12"/>
  <c r="J74" i="12"/>
  <c r="H74" i="12"/>
  <c r="K74" i="12"/>
  <c r="I74" i="12"/>
  <c r="J104" i="12"/>
  <c r="H104" i="12"/>
  <c r="I104" i="12"/>
  <c r="K104" i="12"/>
  <c r="J100" i="12"/>
  <c r="H100" i="12"/>
  <c r="K100" i="12"/>
  <c r="I100" i="12"/>
  <c r="H85" i="12"/>
  <c r="J85" i="12"/>
  <c r="K85" i="12"/>
  <c r="I85" i="12"/>
  <c r="J79" i="12"/>
  <c r="H79" i="12"/>
  <c r="K79" i="12"/>
  <c r="I79" i="12"/>
  <c r="J69" i="12"/>
  <c r="H69" i="12"/>
  <c r="K69" i="12"/>
  <c r="I69" i="12"/>
  <c r="H36" i="12"/>
  <c r="J36" i="12"/>
  <c r="K36" i="12"/>
  <c r="I36" i="12"/>
  <c r="H33" i="12"/>
  <c r="I33" i="12"/>
  <c r="J49" i="12"/>
  <c r="H49" i="12"/>
  <c r="I49" i="12"/>
  <c r="K49" i="12"/>
  <c r="J57" i="12"/>
  <c r="I57" i="12"/>
  <c r="H57" i="12"/>
  <c r="K57" i="12"/>
  <c r="H50" i="12"/>
  <c r="J50" i="12"/>
  <c r="K50" i="12"/>
  <c r="I50" i="12"/>
  <c r="J53" i="12"/>
  <c r="I53" i="12"/>
  <c r="H53" i="12"/>
  <c r="K53" i="12"/>
  <c r="J96" i="12"/>
  <c r="K96" i="12"/>
  <c r="H96" i="12"/>
  <c r="I96" i="12"/>
  <c r="J92" i="12"/>
  <c r="K92" i="12"/>
  <c r="H92" i="12"/>
  <c r="I92" i="12"/>
  <c r="J65" i="12"/>
  <c r="I65" i="12"/>
  <c r="H65" i="12"/>
  <c r="K65" i="12"/>
  <c r="J82" i="12"/>
  <c r="H82" i="12"/>
  <c r="I82" i="12"/>
  <c r="K82" i="12"/>
  <c r="H97" i="12"/>
  <c r="J97" i="12"/>
  <c r="K97" i="12"/>
  <c r="I97" i="12"/>
  <c r="J103" i="12"/>
  <c r="H103" i="12"/>
  <c r="K103" i="12"/>
  <c r="I103" i="12"/>
  <c r="H95" i="12"/>
  <c r="J95" i="12"/>
  <c r="K95" i="12"/>
  <c r="I95" i="12"/>
  <c r="J86" i="12"/>
  <c r="H86" i="12"/>
  <c r="I86" i="12"/>
  <c r="K86" i="12"/>
  <c r="H91" i="12"/>
  <c r="J91" i="12"/>
  <c r="K91" i="12"/>
  <c r="I91" i="12"/>
  <c r="J105" i="12"/>
  <c r="H105" i="12"/>
  <c r="I105" i="12"/>
  <c r="K105" i="12"/>
  <c r="J88" i="12"/>
  <c r="K88" i="12"/>
  <c r="H88" i="12"/>
  <c r="I88" i="12"/>
  <c r="J94" i="12"/>
  <c r="H94" i="12"/>
  <c r="I94" i="12"/>
  <c r="K94" i="12"/>
  <c r="H54" i="12"/>
  <c r="J54" i="12"/>
  <c r="K54" i="12"/>
  <c r="I54" i="12"/>
  <c r="J51" i="12"/>
  <c r="I51" i="12"/>
  <c r="H51" i="12"/>
  <c r="K51" i="12"/>
  <c r="K31" i="12"/>
  <c r="I31" i="12"/>
  <c r="J31" i="12"/>
  <c r="H31" i="12"/>
  <c r="H30" i="12"/>
  <c r="I30" i="12"/>
  <c r="J55" i="12"/>
  <c r="H55" i="12"/>
  <c r="I55" i="12"/>
  <c r="K55" i="12"/>
  <c r="J28" i="12"/>
  <c r="H28" i="12"/>
  <c r="K28" i="12"/>
  <c r="I28" i="12"/>
  <c r="H40" i="12"/>
  <c r="J40" i="12"/>
  <c r="K40" i="12"/>
  <c r="I40" i="12"/>
  <c r="H44" i="12"/>
  <c r="J44" i="12"/>
  <c r="K44" i="12"/>
  <c r="I44" i="12"/>
  <c r="J47" i="12"/>
  <c r="H47" i="12"/>
  <c r="I47" i="12"/>
  <c r="K47" i="12"/>
  <c r="H99" i="12"/>
  <c r="J99" i="12"/>
  <c r="I99" i="12"/>
  <c r="K99" i="12"/>
  <c r="J107" i="12"/>
  <c r="H107" i="12"/>
  <c r="K107" i="12"/>
  <c r="I107" i="12"/>
  <c r="H62" i="12"/>
  <c r="J62" i="12"/>
  <c r="K62" i="12"/>
  <c r="I62" i="12"/>
  <c r="H93" i="12"/>
  <c r="J93" i="12"/>
  <c r="K93" i="12"/>
  <c r="I93" i="12"/>
  <c r="J61" i="12"/>
  <c r="H61" i="12"/>
  <c r="I61" i="12"/>
  <c r="K61" i="12"/>
  <c r="H64" i="12"/>
  <c r="J64" i="12"/>
  <c r="K64" i="12"/>
  <c r="I64" i="12"/>
  <c r="J90" i="12"/>
  <c r="H90" i="12"/>
  <c r="I90" i="12"/>
  <c r="K90" i="12"/>
  <c r="J80" i="12"/>
  <c r="K80" i="12"/>
  <c r="H80" i="12"/>
  <c r="I80" i="12"/>
  <c r="J106" i="12"/>
  <c r="H106" i="12"/>
  <c r="K106" i="12"/>
  <c r="I106" i="12"/>
  <c r="H66" i="12"/>
  <c r="J66" i="12"/>
  <c r="K66" i="12"/>
  <c r="I66" i="12"/>
  <c r="J72" i="12"/>
  <c r="H72" i="12"/>
  <c r="K72" i="12"/>
  <c r="I72" i="12"/>
  <c r="H60" i="12"/>
  <c r="J60" i="12"/>
  <c r="K60" i="12"/>
  <c r="I60" i="12"/>
  <c r="J39" i="12"/>
  <c r="H39" i="12"/>
  <c r="I39" i="12"/>
  <c r="K39" i="12"/>
  <c r="H46" i="12"/>
  <c r="J46" i="12"/>
  <c r="K46" i="12"/>
  <c r="I46" i="12"/>
  <c r="H58" i="12"/>
  <c r="J58" i="12"/>
  <c r="K58" i="12"/>
  <c r="I58" i="12"/>
  <c r="H38" i="12"/>
  <c r="J38" i="12"/>
  <c r="K38" i="12"/>
  <c r="I38" i="12"/>
  <c r="J41" i="12"/>
  <c r="H41" i="12"/>
  <c r="I41" i="12"/>
  <c r="K41" i="12"/>
  <c r="J101" i="12"/>
  <c r="H101" i="12"/>
  <c r="K101" i="12"/>
  <c r="I101" i="12"/>
  <c r="H83" i="12"/>
  <c r="J83" i="12"/>
  <c r="K83" i="12"/>
  <c r="I83" i="12"/>
  <c r="J71" i="12"/>
  <c r="H71" i="12"/>
  <c r="I71" i="12"/>
  <c r="K71" i="12"/>
  <c r="J102" i="12"/>
  <c r="H102" i="12"/>
  <c r="K102" i="12"/>
  <c r="I102" i="12"/>
  <c r="J70" i="12"/>
  <c r="H70" i="12"/>
  <c r="K70" i="12"/>
  <c r="I70" i="12"/>
  <c r="J76" i="12"/>
  <c r="H76" i="12"/>
  <c r="K76" i="12"/>
  <c r="I76" i="12"/>
  <c r="J67" i="12"/>
  <c r="H67" i="12"/>
  <c r="I67" i="12"/>
  <c r="K67" i="12"/>
  <c r="J77" i="12"/>
  <c r="H77" i="12"/>
  <c r="K77" i="12"/>
  <c r="I77" i="12"/>
  <c r="H89" i="12"/>
  <c r="J89" i="12"/>
  <c r="K89" i="12"/>
  <c r="I89" i="12"/>
  <c r="J78" i="12"/>
  <c r="H78" i="12"/>
  <c r="K78" i="12"/>
  <c r="I78" i="12"/>
  <c r="J73" i="12"/>
  <c r="H73" i="12"/>
  <c r="K73" i="12"/>
  <c r="I73" i="12"/>
  <c r="J63" i="12"/>
  <c r="I63" i="12"/>
  <c r="H63" i="12"/>
  <c r="K63" i="12"/>
  <c r="J45" i="12"/>
  <c r="I45" i="12"/>
  <c r="H45" i="12"/>
  <c r="K45" i="12"/>
  <c r="H48" i="12"/>
  <c r="J48" i="12"/>
  <c r="K48" i="12"/>
  <c r="I48" i="12"/>
  <c r="H34" i="12"/>
  <c r="J34" i="12"/>
  <c r="K34" i="12"/>
  <c r="I34" i="12"/>
  <c r="I27" i="12"/>
  <c r="H27" i="12"/>
  <c r="H42" i="12"/>
  <c r="J42" i="12"/>
  <c r="K42" i="12"/>
  <c r="I42" i="12"/>
  <c r="J43" i="12"/>
  <c r="I43" i="12"/>
  <c r="H43" i="12"/>
  <c r="K43" i="12"/>
  <c r="H25" i="12"/>
  <c r="J25" i="12"/>
  <c r="K25" i="12"/>
  <c r="I25" i="12"/>
  <c r="H24" i="12"/>
  <c r="I24" i="12"/>
  <c r="J22" i="12"/>
  <c r="H22" i="12"/>
  <c r="K22" i="12"/>
  <c r="I22" i="12"/>
  <c r="H21" i="12"/>
  <c r="I21" i="12"/>
  <c r="H19" i="12"/>
  <c r="J19" i="12"/>
  <c r="I19" i="12"/>
  <c r="K19" i="12"/>
  <c r="AD41" i="7"/>
  <c r="AK10" i="7"/>
  <c r="D46" i="4"/>
  <c r="E63" i="12" s="1"/>
  <c r="D47" i="4"/>
  <c r="E64" i="12" s="1"/>
  <c r="L52" i="6"/>
  <c r="L49" i="6"/>
  <c r="L51" i="6"/>
  <c r="L48" i="6"/>
  <c r="AA4" i="2"/>
  <c r="AC4" i="2" s="1"/>
  <c r="AG46" i="2"/>
  <c r="AG45" i="2"/>
  <c r="AG43" i="2"/>
  <c r="AG42" i="2"/>
  <c r="AG40" i="2"/>
  <c r="AG39" i="2"/>
  <c r="AG37" i="2"/>
  <c r="AG36" i="2"/>
  <c r="AG34" i="2"/>
  <c r="AG33" i="2"/>
  <c r="AG31" i="2"/>
  <c r="AG30" i="2"/>
  <c r="AG28" i="2"/>
  <c r="AG27" i="2"/>
  <c r="D23" i="4"/>
  <c r="E40" i="12" s="1"/>
  <c r="D20" i="4"/>
  <c r="E37" i="12" s="1"/>
  <c r="AG13" i="2"/>
  <c r="AG12" i="2"/>
  <c r="AG10" i="2"/>
  <c r="AG9" i="2"/>
  <c r="AG7" i="2"/>
  <c r="AG6" i="2"/>
  <c r="C4" i="4"/>
  <c r="D21" i="12" s="1"/>
  <c r="C1" i="4"/>
  <c r="D18" i="12" s="1"/>
  <c r="AA3" i="2"/>
  <c r="AC3" i="2" s="1"/>
  <c r="AF3" i="2" s="1"/>
  <c r="AE41" i="7" l="1"/>
  <c r="L3" i="6"/>
  <c r="AC93" i="2"/>
  <c r="AK41" i="7"/>
  <c r="AJ41" i="7"/>
  <c r="AL11" i="7"/>
  <c r="AM11" i="7" s="1"/>
  <c r="AL13" i="7"/>
  <c r="AM13" i="7" s="1"/>
  <c r="AL19" i="7"/>
  <c r="AM19" i="7" s="1"/>
  <c r="AL20" i="7"/>
  <c r="AM20" i="7" s="1"/>
  <c r="AL21" i="7"/>
  <c r="AM21" i="7" s="1"/>
  <c r="AL22" i="7"/>
  <c r="AM22" i="7" s="1"/>
  <c r="AL23" i="7"/>
  <c r="AM23" i="7" s="1"/>
  <c r="AL24" i="7"/>
  <c r="AM24" i="7" s="1"/>
  <c r="AG4" i="2"/>
  <c r="AG3" i="2"/>
  <c r="AL12" i="7"/>
  <c r="AM12" i="7" s="1"/>
  <c r="AL18" i="7"/>
  <c r="AM18" i="7" s="1"/>
  <c r="AF28" i="2"/>
  <c r="AJ28" i="2" s="1"/>
  <c r="AF37" i="2"/>
  <c r="AN21" i="7" s="1"/>
  <c r="AF40" i="2"/>
  <c r="AJ40" i="2" s="1"/>
  <c r="AF31" i="2"/>
  <c r="AJ31" i="2" s="1"/>
  <c r="AF13" i="2"/>
  <c r="AJ13" i="2" s="1"/>
  <c r="AF34" i="2"/>
  <c r="AJ34" i="2" s="1"/>
  <c r="AF43" i="2"/>
  <c r="AJ43" i="2" s="1"/>
  <c r="AF46" i="2"/>
  <c r="AJ46" i="2" s="1"/>
  <c r="AF7" i="2"/>
  <c r="AJ7" i="2" s="1"/>
  <c r="D8" i="4"/>
  <c r="E25" i="12" s="1"/>
  <c r="AF10" i="2"/>
  <c r="AJ10" i="2" s="1"/>
  <c r="D7" i="4"/>
  <c r="E24" i="12" s="1"/>
  <c r="AH45" i="2"/>
  <c r="D43" i="4"/>
  <c r="E60" i="12" s="1"/>
  <c r="AH46" i="2"/>
  <c r="D44" i="4"/>
  <c r="E61" i="12" s="1"/>
  <c r="D16" i="4"/>
  <c r="E33" i="12" s="1"/>
  <c r="D14" i="4"/>
  <c r="E31" i="12" s="1"/>
  <c r="D10" i="4"/>
  <c r="E27" i="12" s="1"/>
  <c r="D11" i="4"/>
  <c r="E28" i="12" s="1"/>
  <c r="AH42" i="2"/>
  <c r="D40" i="4"/>
  <c r="E57" i="12" s="1"/>
  <c r="AH43" i="2"/>
  <c r="D41" i="4"/>
  <c r="E58" i="12" s="1"/>
  <c r="AH40" i="2"/>
  <c r="D38" i="4"/>
  <c r="E55" i="12" s="1"/>
  <c r="AH39" i="2"/>
  <c r="D37" i="4"/>
  <c r="E54" i="12" s="1"/>
  <c r="AH36" i="2"/>
  <c r="D34" i="4"/>
  <c r="E51" i="12" s="1"/>
  <c r="AH33" i="2"/>
  <c r="D31" i="4"/>
  <c r="E48" i="12" s="1"/>
  <c r="AH30" i="2"/>
  <c r="D28" i="4"/>
  <c r="E45" i="12" s="1"/>
  <c r="AH27" i="2"/>
  <c r="D25" i="4"/>
  <c r="E42" i="12" s="1"/>
  <c r="D22" i="4"/>
  <c r="E39" i="12" s="1"/>
  <c r="D13" i="4"/>
  <c r="E30" i="12" s="1"/>
  <c r="AH9" i="2"/>
  <c r="AH31" i="2"/>
  <c r="D29" i="4"/>
  <c r="E46" i="12" s="1"/>
  <c r="AH37" i="2"/>
  <c r="D35" i="4"/>
  <c r="E52" i="12" s="1"/>
  <c r="AH28" i="2"/>
  <c r="D26" i="4"/>
  <c r="E43" i="12" s="1"/>
  <c r="AH34" i="2"/>
  <c r="D32" i="4"/>
  <c r="E49" i="12" s="1"/>
  <c r="AP7" i="2"/>
  <c r="D5" i="4"/>
  <c r="E22" i="12" s="1"/>
  <c r="AP4" i="2"/>
  <c r="J3" i="6"/>
  <c r="AP3" i="2"/>
  <c r="L16" i="6"/>
  <c r="L24" i="6"/>
  <c r="L33" i="6"/>
  <c r="AP33" i="2"/>
  <c r="L39" i="6"/>
  <c r="AP39" i="2"/>
  <c r="L45" i="6"/>
  <c r="AP45" i="2"/>
  <c r="L6" i="6"/>
  <c r="AH6" i="2"/>
  <c r="AP6" i="2"/>
  <c r="L9" i="6"/>
  <c r="AP9" i="2"/>
  <c r="AH12" i="2"/>
  <c r="L12" i="6"/>
  <c r="AP12" i="2"/>
  <c r="L18" i="6"/>
  <c r="L25" i="6"/>
  <c r="L34" i="6"/>
  <c r="AP34" i="2"/>
  <c r="L40" i="6"/>
  <c r="AP40" i="2"/>
  <c r="L46" i="6"/>
  <c r="AP46" i="2"/>
  <c r="AH10" i="2"/>
  <c r="L10" i="6"/>
  <c r="AP10" i="2"/>
  <c r="AH13" i="2"/>
  <c r="L13" i="6"/>
  <c r="AP13" i="2"/>
  <c r="L27" i="6"/>
  <c r="AP27" i="2"/>
  <c r="L30" i="6"/>
  <c r="AP30" i="2"/>
  <c r="L36" i="6"/>
  <c r="AP36" i="2"/>
  <c r="L42" i="6"/>
  <c r="AP42" i="2"/>
  <c r="L15" i="6"/>
  <c r="L22" i="6"/>
  <c r="L28" i="6"/>
  <c r="AP28" i="2"/>
  <c r="L31" i="6"/>
  <c r="AP31" i="2"/>
  <c r="L37" i="6"/>
  <c r="AP37" i="2"/>
  <c r="L43" i="6"/>
  <c r="AP43" i="2"/>
  <c r="L7" i="6"/>
  <c r="J4" i="6"/>
  <c r="L4" i="6"/>
  <c r="AH7" i="2"/>
  <c r="AH3" i="2"/>
  <c r="AH4" i="2"/>
  <c r="D2" i="4"/>
  <c r="E19" i="12" s="1"/>
  <c r="D1" i="4"/>
  <c r="E18" i="12" s="1"/>
  <c r="D4" i="4"/>
  <c r="E21" i="12" s="1"/>
  <c r="AF4" i="2"/>
  <c r="AJ4" i="2" s="1"/>
  <c r="B4" i="4"/>
  <c r="C21" i="12" s="1"/>
  <c r="B1" i="4"/>
  <c r="C18" i="12" s="1"/>
  <c r="D3" i="4"/>
  <c r="E20" i="12" s="1"/>
  <c r="AG5" i="2"/>
  <c r="B2" i="4"/>
  <c r="C19" i="12" s="1"/>
  <c r="AN18" i="7" l="1"/>
  <c r="AO18" i="7" s="1"/>
  <c r="AP22" i="7"/>
  <c r="AQ22" i="7" s="1"/>
  <c r="AN19" i="7"/>
  <c r="AO19" i="7" s="1"/>
  <c r="AJ37" i="2"/>
  <c r="AN22" i="7"/>
  <c r="AB22" i="7" s="1"/>
  <c r="AC22" i="7" s="1"/>
  <c r="AN12" i="7"/>
  <c r="AB12" i="7" s="1"/>
  <c r="AC12" i="7" s="1"/>
  <c r="AP20" i="7"/>
  <c r="AQ20" i="7" s="1"/>
  <c r="AP18" i="7"/>
  <c r="AQ18" i="7" s="1"/>
  <c r="V10" i="7"/>
  <c r="W10" i="7" s="1"/>
  <c r="V23" i="7"/>
  <c r="W23" i="7" s="1"/>
  <c r="AN11" i="7"/>
  <c r="AP24" i="7"/>
  <c r="AQ24" i="7" s="1"/>
  <c r="V24" i="7"/>
  <c r="W24" i="7" s="1"/>
  <c r="AP23" i="7"/>
  <c r="AQ23" i="7" s="1"/>
  <c r="V22" i="7"/>
  <c r="W22" i="7" s="1"/>
  <c r="AO22" i="7"/>
  <c r="V21" i="7"/>
  <c r="W21" i="7" s="1"/>
  <c r="AP21" i="7"/>
  <c r="AQ21" i="7" s="1"/>
  <c r="AO21" i="7"/>
  <c r="AB21" i="7"/>
  <c r="AC21" i="7" s="1"/>
  <c r="V20" i="7"/>
  <c r="W20" i="7" s="1"/>
  <c r="V19" i="7"/>
  <c r="W19" i="7" s="1"/>
  <c r="AP19" i="7"/>
  <c r="AQ19" i="7" s="1"/>
  <c r="V18" i="7"/>
  <c r="W18" i="7" s="1"/>
  <c r="AP13" i="7"/>
  <c r="AQ13" i="7" s="1"/>
  <c r="AP12" i="7"/>
  <c r="AQ12" i="7" s="1"/>
  <c r="AP11" i="7"/>
  <c r="AQ11" i="7" s="1"/>
  <c r="AP10" i="7"/>
  <c r="AQ10" i="7" s="1"/>
  <c r="V13" i="7"/>
  <c r="W13" i="7" s="1"/>
  <c r="V12" i="7"/>
  <c r="W12" i="7" s="1"/>
  <c r="V11" i="7"/>
  <c r="W11" i="7" s="1"/>
  <c r="AL10" i="7"/>
  <c r="AN10" i="7"/>
  <c r="AN20" i="7"/>
  <c r="AN23" i="7"/>
  <c r="AN13" i="7"/>
  <c r="AN24" i="7"/>
  <c r="L3" i="2"/>
  <c r="L5" i="2"/>
  <c r="AJ42" i="2"/>
  <c r="AR42" i="2"/>
  <c r="AJ39" i="2"/>
  <c r="AR39" i="2"/>
  <c r="AJ30" i="2"/>
  <c r="AR30" i="2"/>
  <c r="AJ27" i="2"/>
  <c r="AR27" i="2"/>
  <c r="AJ3" i="2"/>
  <c r="AR3" i="2"/>
  <c r="AJ12" i="2"/>
  <c r="AR12" i="2"/>
  <c r="AJ36" i="2"/>
  <c r="AR36" i="2"/>
  <c r="AJ9" i="2"/>
  <c r="AR9" i="2"/>
  <c r="AJ45" i="2"/>
  <c r="AR45" i="2"/>
  <c r="AJ6" i="2"/>
  <c r="AR6" i="2"/>
  <c r="AJ33" i="2"/>
  <c r="AR33" i="2"/>
  <c r="AP96" i="2"/>
  <c r="L11" i="2" s="1"/>
  <c r="AB11" i="7" l="1"/>
  <c r="AC11" i="7" s="1"/>
  <c r="AB18" i="7"/>
  <c r="AC18" i="7" s="1"/>
  <c r="AB19" i="7"/>
  <c r="AC19" i="7" s="1"/>
  <c r="P19" i="7" s="1"/>
  <c r="O19" i="7" s="1"/>
  <c r="N19" i="7" s="1"/>
  <c r="J19" i="7" s="1"/>
  <c r="AO12" i="7"/>
  <c r="P12" i="7" s="1"/>
  <c r="O12" i="7" s="1"/>
  <c r="N12" i="7" s="1"/>
  <c r="J12" i="7" s="1"/>
  <c r="P18" i="7"/>
  <c r="O18" i="7" s="1"/>
  <c r="N18" i="7" s="1"/>
  <c r="J18" i="7" s="1"/>
  <c r="P22" i="7"/>
  <c r="O22" i="7" s="1"/>
  <c r="N22" i="7" s="1"/>
  <c r="J22" i="7" s="1"/>
  <c r="P21" i="7"/>
  <c r="O21" i="7" s="1"/>
  <c r="N21" i="7" s="1"/>
  <c r="J21" i="7" s="1"/>
  <c r="AO11" i="7"/>
  <c r="W41" i="7"/>
  <c r="AO24" i="7"/>
  <c r="AB24" i="7"/>
  <c r="AC24" i="7" s="1"/>
  <c r="AO23" i="7"/>
  <c r="AB23" i="7"/>
  <c r="AC23" i="7" s="1"/>
  <c r="AO20" i="7"/>
  <c r="AB20" i="7"/>
  <c r="AC20" i="7" s="1"/>
  <c r="AO13" i="7"/>
  <c r="AB13" i="7"/>
  <c r="AC13" i="7" s="1"/>
  <c r="AM10" i="7"/>
  <c r="AL41" i="7"/>
  <c r="AO10" i="7"/>
  <c r="AB10" i="7"/>
  <c r="AC10" i="7" s="1"/>
  <c r="AN41" i="7"/>
  <c r="AP41" i="7"/>
  <c r="AQ41" i="7"/>
  <c r="V41" i="7"/>
  <c r="L4" i="2"/>
  <c r="L9" i="2" s="1"/>
  <c r="P10" i="7" l="1"/>
  <c r="O10" i="7"/>
  <c r="N10" i="7" s="1"/>
  <c r="J10" i="7" s="1"/>
  <c r="P20" i="7"/>
  <c r="O20" i="7" s="1"/>
  <c r="N20" i="7" s="1"/>
  <c r="J20" i="7" s="1"/>
  <c r="P23" i="7"/>
  <c r="P24" i="7"/>
  <c r="O24" i="7" s="1"/>
  <c r="N24" i="7" s="1"/>
  <c r="J24" i="7" s="1"/>
  <c r="P13" i="7"/>
  <c r="O13" i="7" s="1"/>
  <c r="N13" i="7" s="1"/>
  <c r="J13" i="7" s="1"/>
  <c r="P11" i="7"/>
  <c r="O11" i="7" s="1"/>
  <c r="N11" i="7" s="1"/>
  <c r="J11" i="7" s="1"/>
  <c r="O23" i="7"/>
  <c r="N23" i="7" s="1"/>
  <c r="J23" i="7" s="1"/>
  <c r="AM41" i="7"/>
  <c r="AO41" i="7"/>
  <c r="AB41" i="7"/>
  <c r="AC41" i="7" l="1"/>
  <c r="I7" i="7" l="1"/>
  <c r="L6" i="7" s="1"/>
</calcChain>
</file>

<file path=xl/sharedStrings.xml><?xml version="1.0" encoding="utf-8"?>
<sst xmlns="http://schemas.openxmlformats.org/spreadsheetml/2006/main" count="653" uniqueCount="259">
  <si>
    <t>Кол-во</t>
  </si>
  <si>
    <t>Филенка</t>
  </si>
  <si>
    <t>Дл</t>
  </si>
  <si>
    <t>Шир</t>
  </si>
  <si>
    <t>Паз</t>
  </si>
  <si>
    <t>№</t>
  </si>
  <si>
    <t>Кол-в</t>
  </si>
  <si>
    <t>Услуги</t>
  </si>
  <si>
    <t>Кол-во резов, м/п</t>
  </si>
  <si>
    <t>Кол-во пазов, м/п</t>
  </si>
  <si>
    <t>Кол-во отверстий</t>
  </si>
  <si>
    <t>Тип фасада</t>
  </si>
  <si>
    <t>5-ти элем</t>
  </si>
  <si>
    <t>3-х элем</t>
  </si>
  <si>
    <t>Заготовка1</t>
  </si>
  <si>
    <t>Заготовка2</t>
  </si>
  <si>
    <t>Кол-во кромкования</t>
  </si>
  <si>
    <t>витрина</t>
  </si>
  <si>
    <t>Кромка на фасад</t>
  </si>
  <si>
    <t>Кол-во кромки на заготовку, м/п</t>
  </si>
  <si>
    <t>Толщина</t>
  </si>
  <si>
    <t>Порезка</t>
  </si>
  <si>
    <t>Количество услуг</t>
  </si>
  <si>
    <t>Кромков</t>
  </si>
  <si>
    <t>Отверстия</t>
  </si>
  <si>
    <t>Сборка</t>
  </si>
  <si>
    <t>нет</t>
  </si>
  <si>
    <t>Клиент:</t>
  </si>
  <si>
    <t>Номер телефона/e-mail:</t>
  </si>
  <si>
    <t>Внимание!    При заказе сверловки необходимо предоставлять чертежи</t>
  </si>
  <si>
    <t>К-во, шт.</t>
  </si>
  <si>
    <t>материал</t>
  </si>
  <si>
    <t>Длинна</t>
  </si>
  <si>
    <t>Ширина</t>
  </si>
  <si>
    <t>Клиент    __________________    _________________</t>
  </si>
  <si>
    <t>Форма заказа фасадов Cleaf</t>
  </si>
  <si>
    <t>Габаритный размер фасада Cleaf</t>
  </si>
  <si>
    <t>Толщина фасада</t>
  </si>
  <si>
    <t>Стекло</t>
  </si>
  <si>
    <t>Дсп</t>
  </si>
  <si>
    <t>Клиента</t>
  </si>
  <si>
    <t>Толщина филенки</t>
  </si>
  <si>
    <t>Материал</t>
  </si>
  <si>
    <t>РАСПЕЧАТЫВАТЬ</t>
  </si>
  <si>
    <t xml:space="preserve">Для  производства </t>
  </si>
  <si>
    <t>1. Форму заказа с подписью клиента</t>
  </si>
  <si>
    <t>2. Спецификацию</t>
  </si>
  <si>
    <t>3. Карты раскроя</t>
  </si>
  <si>
    <t>Кромкование</t>
  </si>
  <si>
    <t>22/1,0</t>
  </si>
  <si>
    <t>Примечание</t>
  </si>
  <si>
    <t>ДСП 8мм</t>
  </si>
  <si>
    <t>ДСП</t>
  </si>
  <si>
    <t>Количество материала</t>
  </si>
  <si>
    <t>Кромка</t>
  </si>
  <si>
    <t>ДСП 8 мм</t>
  </si>
  <si>
    <t>Спецификация</t>
  </si>
  <si>
    <t>4. Ярлычки</t>
  </si>
  <si>
    <t>Курс</t>
  </si>
  <si>
    <t>LM63 Matrix</t>
  </si>
  <si>
    <t>LM62 Matrix</t>
  </si>
  <si>
    <t>LK48 Matrix</t>
  </si>
  <si>
    <t>LM09 Tranche</t>
  </si>
  <si>
    <t>LM12 Tranche</t>
  </si>
  <si>
    <t>LM08 Tranche</t>
  </si>
  <si>
    <t>BO26 Alter</t>
  </si>
  <si>
    <t xml:space="preserve"> </t>
  </si>
  <si>
    <t>SO28 Azimut</t>
  </si>
  <si>
    <t>SO70 Sherwood</t>
  </si>
  <si>
    <t>SO71 Sherwood</t>
  </si>
  <si>
    <t>Прайс-калькуляция на фасады CLEAF  18 мм (Италия)</t>
  </si>
  <si>
    <t>Всего фасадов, шт</t>
  </si>
  <si>
    <t xml:space="preserve">Сумма заказа, грн </t>
  </si>
  <si>
    <t>Всего, м. кв.</t>
  </si>
  <si>
    <t>Тип филенки</t>
  </si>
  <si>
    <t xml:space="preserve">Высота,    мм </t>
  </si>
  <si>
    <t>Ширина, мм</t>
  </si>
  <si>
    <t>К-во</t>
  </si>
  <si>
    <t>Площадь фасадов, м.кв.</t>
  </si>
  <si>
    <t>Цены указаны в EURO (для справки) с учетом НДС.                                                               Оплата производится в гривнах по курсу Межбанка+1%.</t>
  </si>
  <si>
    <t>Гладкий</t>
  </si>
  <si>
    <t>Витрина</t>
  </si>
  <si>
    <t>SO83</t>
  </si>
  <si>
    <t>SO84</t>
  </si>
  <si>
    <t>22/1,1</t>
  </si>
  <si>
    <t>ЗАКАЗ №</t>
  </si>
  <si>
    <t>Наименование</t>
  </si>
  <si>
    <t>Стоимость материалов</t>
  </si>
  <si>
    <t>Наименование материала</t>
  </si>
  <si>
    <t>Стоимость</t>
  </si>
  <si>
    <t>№ п/п</t>
  </si>
  <si>
    <t xml:space="preserve">Ед.измерения </t>
  </si>
  <si>
    <t>Евро</t>
  </si>
  <si>
    <t>Шкант</t>
  </si>
  <si>
    <t>Клей</t>
  </si>
  <si>
    <t>Материалы</t>
  </si>
  <si>
    <t>ДСП 18</t>
  </si>
  <si>
    <t>ДСП 8</t>
  </si>
  <si>
    <t>ДСП 18 мм, м2</t>
  </si>
  <si>
    <t>ДСП 8 мм, м2</t>
  </si>
  <si>
    <t>ПВХ, пгм</t>
  </si>
  <si>
    <t>Стоим</t>
  </si>
  <si>
    <t>пгм</t>
  </si>
  <si>
    <t>Площадь фасада</t>
  </si>
  <si>
    <t>Цена опт</t>
  </si>
  <si>
    <t>Цена мелкий опт</t>
  </si>
  <si>
    <t>Цена розн</t>
  </si>
  <si>
    <t>Коэффициенты наценок в прайс</t>
  </si>
  <si>
    <t>Коэф на потери материала</t>
  </si>
  <si>
    <t>Коэф расчета себестоимости</t>
  </si>
  <si>
    <t>Сборка 0,5</t>
  </si>
  <si>
    <t>Сборка 1</t>
  </si>
  <si>
    <t>Сборка 1,5</t>
  </si>
  <si>
    <t>Сборка больше 2</t>
  </si>
  <si>
    <t>Минимальные размеры фасадов</t>
  </si>
  <si>
    <t>Длина</t>
  </si>
  <si>
    <t>В заказе</t>
  </si>
  <si>
    <t>Анализ правильности размеров фасадов</t>
  </si>
  <si>
    <t>Справочные размеры для фасадов</t>
  </si>
  <si>
    <t>Уголок</t>
  </si>
  <si>
    <t>Стрейч</t>
  </si>
  <si>
    <t>шт</t>
  </si>
  <si>
    <t>кг</t>
  </si>
  <si>
    <t>0,6х345</t>
  </si>
  <si>
    <t>Уголок, 4 шт на фас</t>
  </si>
  <si>
    <t>Стрейч, S фас х 2,5</t>
  </si>
  <si>
    <t>Стандартные декоры</t>
  </si>
  <si>
    <t>Сумма заказа, euro</t>
  </si>
  <si>
    <t>1 группа</t>
  </si>
  <si>
    <t>2 группа</t>
  </si>
  <si>
    <t>3 группа</t>
  </si>
  <si>
    <t>4 группа</t>
  </si>
  <si>
    <t>Форма заказа плитных материалов МТУ от 28.07.2015</t>
  </si>
  <si>
    <t>Материал:</t>
  </si>
  <si>
    <t>Размеры деталей габаритные</t>
  </si>
  <si>
    <t>Обозначение плитного материала:</t>
  </si>
  <si>
    <t>Обозначение торцовки:</t>
  </si>
  <si>
    <t>Код</t>
  </si>
  <si>
    <t>Артикул</t>
  </si>
  <si>
    <t>Параметры ПВХ</t>
  </si>
  <si>
    <t>22х1,0</t>
  </si>
  <si>
    <t>Код  плитного материала</t>
  </si>
  <si>
    <t>Габаритный размер детали   (с учетом кромки)</t>
  </si>
  <si>
    <t>Вращать, не вращать</t>
  </si>
  <si>
    <t>толщина</t>
  </si>
  <si>
    <t>Укажите кромку ПВХ (код)</t>
  </si>
  <si>
    <t>Укажите наличие радиусов, пазов, углов и т.д., а также их размеры</t>
  </si>
  <si>
    <t>Тип материала</t>
  </si>
  <si>
    <t>Тип кромки</t>
  </si>
  <si>
    <t xml:space="preserve"> Код кромки</t>
  </si>
  <si>
    <t>Код материала</t>
  </si>
  <si>
    <t>Текстура</t>
  </si>
  <si>
    <t>Верх</t>
  </si>
  <si>
    <t>Низ</t>
  </si>
  <si>
    <t>Лев</t>
  </si>
  <si>
    <t>Прав</t>
  </si>
  <si>
    <t>№ заказа</t>
  </si>
  <si>
    <t>Указание об ошибке</t>
  </si>
  <si>
    <t>Стоимость фасада</t>
  </si>
  <si>
    <t>Скидка в %</t>
  </si>
  <si>
    <t>Код детали</t>
  </si>
  <si>
    <t>1.1</t>
  </si>
  <si>
    <t>1.2</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</si>
  <si>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</si>
  <si>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</si>
  <si>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</si>
  <si>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</si>
  <si>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</si>
  <si>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</si>
  <si>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</si>
  <si>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</si>
  <si>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</si>
  <si>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</si>
  <si>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</si>
  <si>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</si>
  <si>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</si>
  <si>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</si>
  <si>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</si>
  <si>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</si>
  <si>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</si>
  <si>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</si>
  <si>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</si>
  <si>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</si>
  <si>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</si>
  <si>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</si>
  <si>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</si>
  <si>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</si>
  <si>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</si>
  <si>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</si>
  <si>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</si>
  <si>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</si>
  <si>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</si>
  <si>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</si>
  <si>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</si>
  <si>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</si>
  <si>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</si>
  <si>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</si>
  <si>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</si>
  <si>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</si>
  <si>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</si>
  <si>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</si>
  <si>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</si>
  <si>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</si>
  <si>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</si>
  <si>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</si>
  <si>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</si>
  <si>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</si>
  <si>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</si>
  <si>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</si>
  <si>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</si>
  <si>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</si>
  <si>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</si>
  <si>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</si>
  <si>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</si>
  <si>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</si>
  <si>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</si>
  <si>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</si>
  <si>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</si>
  <si>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</si>
  <si>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</si>
  <si>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</si>
  <si>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</si>
  <si>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</si>
  <si>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</si>
  <si>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</si>
  <si>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</si>
  <si>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</si>
  <si>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</si>
  <si>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</si>
  <si>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</si>
  <si>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</si>
  <si>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</si>
  <si>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</si>
  <si>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</si>
  <si>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</si>
  <si>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</si>
  <si>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</si>
  <si>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</si>
  <si>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</si>
  <si>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</si>
  <si>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</si>
  <si>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</si>
  <si>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</si>
  <si>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</si>
  <si>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</si>
  <si>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</si>
  <si>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</si>
  <si>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</si>
  <si>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</si>
  <si>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</si>
  <si>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</si>
  <si>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 xml:space="preserve">LG23 Poro Rovere </t>
  </si>
  <si>
    <t>SO60 Engadina</t>
  </si>
  <si>
    <t>3-х элем/Витрина</t>
  </si>
  <si>
    <t>Кромка, мнтров</t>
  </si>
  <si>
    <t>Лево (Ширина)</t>
  </si>
  <si>
    <t>Верх (Длина)</t>
  </si>
  <si>
    <t>Право (Ширина)</t>
  </si>
  <si>
    <t>Низ (Длина)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</si>
</sst>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x14ac:knownFonts="1">
    <font>
      <sz val="11"/>
      <color theme="1"/>
      <name val="Calibri"/>
      <family val="2"/>
      <scheme val="minor"/>
    </font>
    <font>
      <b/>
      <sz val="10"/>
      <name val="Arial"/>
      <family val="2"/>
      <charset val="204"/>
    </font>
    <font>
      <b/>
      <sz val="16"/>
      <name val="Arial"/>
      <family val="2"/>
      <charset val="204"/>
    </font>
    <font>
      <sz val="10"/>
      <name val="Arial"/>
      <family val="2"/>
      <charset val="204"/>
    </font>
    <font>
      <u/>
      <sz val="10"/>
      <name val="Arial"/>
      <family val="2"/>
      <charset val="204"/>
    </font>
    <font>
      <b/>
      <i/>
      <u/>
      <sz val="11"/>
      <color rgb="FFFF0000"/>
      <name val="Calibri"/>
      <family val="2"/>
      <charset val="204"/>
      <scheme val="minor"/>
    </font>
    <font>
      <sz val="11"/>
      <name val="Calibri"/>
      <family val="2"/>
      <charset val="204"/>
      <scheme val="minor"/>
    </font>
    <font>
      <sz val="11"/>
      <color theme="1"/>
      <name val="Calibri"/>
      <family val="2"/>
      <scheme val="minor"/>
    </font>
    <font>
      <sz val="10"/>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4"/>
      <name val="Times New Roman"/>
      <family val="1"/>
      <charset val="204"/>
    </font>
    <font>
      <sz val="10"/>
      <name val="Times New Roman"/>
      <family val="1"/>
      <charset val="204"/>
    </font>
    <font>
      <b/>
      <sz val="16"/>
      <color indexed="12"/>
      <name val="Times New Roman"/>
      <family val="1"/>
      <charset val="204"/>
    </font>
    <font>
      <b/>
      <sz val="16"/>
      <name val="Times New Roman"/>
      <family val="1"/>
      <charset val="204"/>
    </font>
    <font>
      <b/>
      <sz val="16"/>
      <color indexed="8"/>
      <name val="Times New Roman"/>
      <family val="1"/>
      <charset val="204"/>
    </font>
    <font>
      <b/>
      <sz val="16"/>
      <color indexed="10"/>
      <name val="Times New Roman"/>
      <family val="1"/>
      <charset val="204"/>
    </font>
    <font>
      <sz val="16"/>
      <name val="Times New Roman"/>
      <family val="1"/>
      <charset val="204"/>
    </font>
    <font>
      <sz val="16"/>
      <color indexed="8"/>
      <name val="Times New Roman"/>
      <family val="1"/>
      <charset val="204"/>
    </font>
    <font>
      <b/>
      <sz val="10"/>
      <name val="Times New Roman"/>
      <family val="1"/>
      <charset val="204"/>
    </font>
    <font>
      <b/>
      <sz val="12"/>
      <name val="Times New Roman"/>
      <family val="1"/>
      <charset val="204"/>
    </font>
    <font>
      <b/>
      <sz val="18"/>
      <color indexed="8"/>
      <name val="Calibri"/>
      <family val="2"/>
      <charset val="204"/>
    </font>
    <font>
      <b/>
      <sz val="14"/>
      <color indexed="8"/>
      <name val="Calibri"/>
      <family val="2"/>
      <charset val="204"/>
    </font>
    <font>
      <b/>
      <i/>
      <sz val="12"/>
      <name val="Times New Roman"/>
      <family val="1"/>
      <charset val="204"/>
    </font>
    <font>
      <sz val="8"/>
      <name val="Arial"/>
      <family val="2"/>
      <charset val="204"/>
    </font>
    <font>
      <b/>
      <sz val="11"/>
      <color theme="1"/>
      <name val="Calibri"/>
      <family val="2"/>
      <scheme val="minor"/>
    </font>
    <font>
      <b/>
      <sz val="16"/>
      <color rgb="FFFF0000"/>
      <name val="Times New Roman"/>
      <family val="1"/>
      <charset val="204"/>
    </font>
    <font>
      <sz val="11"/>
      <color theme="0"/>
      <name val="Calibri"/>
      <family val="2"/>
      <charset val="204"/>
      <scheme val="minor"/>
    </font>
    <font>
      <sz val="11"/>
      <name val="Times New Roman"/>
      <family val="1"/>
      <charset val="204"/>
    </font>
    <font>
      <sz val="14"/>
      <color theme="1"/>
      <name val="Calibri"/>
      <family val="2"/>
      <scheme val="minor"/>
    </font>
    <font>
      <b/>
      <u/>
      <sz val="10"/>
      <name val="Arial"/>
      <family val="2"/>
      <charset val="204"/>
    </font>
    <font>
      <b/>
      <sz val="9"/>
      <name val="Arial"/>
      <family val="2"/>
      <charset val="204"/>
    </font>
    <font>
      <b/>
      <sz val="20"/>
      <color theme="1"/>
      <name val="Times New Roman"/>
      <family val="1"/>
      <charset val="204"/>
    </font>
    <font>
      <sz val="11"/>
      <name val="Calibri"/>
      <family val="2"/>
      <scheme val="minor"/>
    </font>
    <font>
      <b/>
      <sz val="11"/>
      <name val="Calibri"/>
      <family val="2"/>
      <charset val="204"/>
      <scheme val="minor"/>
    </font>
    <font>
      <b/>
      <sz val="14"/>
      <name val="Calibri"/>
      <family val="2"/>
      <charset val="204"/>
      <scheme val="minor"/>
    </font>
    <font>
      <sz val="11"/>
      <name val="Calibri"/>
      <family val="2"/>
      <charset val="204"/>
    </font>
  </fonts>
  <fills count="16">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9"/>
      </patternFill>
    </fill>
    <fill>
      <patternFill patternType="solid">
        <fgColor rgb="FFFFC000"/>
        <bgColor indexed="64"/>
      </patternFill>
    </fill>
    <fill>
      <patternFill patternType="solid">
        <fgColor theme="0" tint="-0.249977111117893"/>
        <bgColor indexed="64"/>
      </patternFill>
    </fill>
    <fill>
      <patternFill patternType="solid">
        <fgColor rgb="FF99CC00"/>
        <bgColor indexed="64"/>
      </patternFill>
    </fill>
    <fill>
      <patternFill patternType="solid">
        <fgColor theme="6"/>
        <bgColor indexed="64"/>
      </patternFill>
    </fill>
    <fill>
      <patternFill patternType="solid">
        <fgColor theme="7"/>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8" fillId="0" borderId="0"/>
    <xf numFmtId="0" fontId="7" fillId="0" borderId="0"/>
    <xf numFmtId="0" fontId="25" fillId="0" borderId="0">
      <alignment horizontal="left"/>
    </xf>
    <xf numFmtId="0" fontId="28" fillId="7" borderId="0" applyNumberFormat="0" applyBorder="0" applyAlignment="0" applyProtection="0"/>
  </cellStyleXfs>
  <cellXfs count="365">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0" borderId="0" xfId="0" applyBorder="1" applyProtection="1">
      <protection hidden="1"/>
    </xf>
    <xf numFmtId="0" fontId="21" fillId="0" borderId="0" xfId="1" applyFont="1" applyBorder="1" applyAlignment="1" applyProtection="1">
      <alignment horizontal="center" vertical="center" wrapText="1"/>
      <protection locked="0" hidden="1"/>
    </xf>
    <xf numFmtId="0" fontId="8" fillId="0" borderId="0" xfId="1" applyBorder="1" applyAlignment="1" applyProtection="1">
      <alignment vertical="center" wrapText="1"/>
      <protection locked="0" hidden="1"/>
    </xf>
    <xf numFmtId="0" fontId="10" fillId="3" borderId="0"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locked="0" hidden="1"/>
    </xf>
    <xf numFmtId="0" fontId="14" fillId="0" borderId="41" xfId="1" applyFont="1" applyBorder="1" applyAlignment="1" applyProtection="1">
      <alignment horizontal="center" vertical="center" wrapText="1"/>
      <protection hidden="1"/>
    </xf>
    <xf numFmtId="2" fontId="14" fillId="0" borderId="42" xfId="1" applyNumberFormat="1" applyFont="1" applyBorder="1" applyAlignment="1" applyProtection="1">
      <alignment horizontal="center" vertical="center" wrapText="1"/>
      <protection hidden="1"/>
    </xf>
    <xf numFmtId="2" fontId="17" fillId="3" borderId="42"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0" fillId="0" borderId="0" xfId="0" applyAlignment="1">
      <alignment horizontal="center" vertical="center" wrapText="1"/>
    </xf>
    <xf numFmtId="0" fontId="0" fillId="0" borderId="0" xfId="0"/>
    <xf numFmtId="2" fontId="10" fillId="0" borderId="1" xfId="1" applyNumberFormat="1" applyFont="1" applyBorder="1" applyAlignment="1" applyProtection="1">
      <alignment horizontal="center" vertical="center" wrapText="1"/>
      <protection hidden="1"/>
    </xf>
    <xf numFmtId="2" fontId="0" fillId="0" borderId="0" xfId="0" applyNumberFormat="1" applyProtection="1">
      <protection hidden="1"/>
    </xf>
    <xf numFmtId="0" fontId="8" fillId="0" borderId="0" xfId="1" applyBorder="1" applyAlignment="1" applyProtection="1">
      <alignment vertical="center" wrapText="1"/>
      <protection hidden="1"/>
    </xf>
    <xf numFmtId="0" fontId="8" fillId="0" borderId="0" xfId="1" applyFill="1" applyBorder="1" applyAlignment="1" applyProtection="1">
      <alignment vertical="center" wrapText="1"/>
      <protection hidden="1"/>
    </xf>
    <xf numFmtId="0" fontId="10" fillId="0" borderId="0" xfId="1" applyFont="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hidden="1"/>
    </xf>
    <xf numFmtId="0" fontId="12" fillId="0" borderId="0" xfId="1" applyFont="1" applyBorder="1" applyAlignment="1" applyProtection="1">
      <alignment horizontal="center" vertical="center" wrapText="1"/>
      <protection locked="0" hidden="1"/>
    </xf>
    <xf numFmtId="0" fontId="11" fillId="5" borderId="41" xfId="1" applyFont="1" applyFill="1" applyBorder="1" applyAlignment="1" applyProtection="1">
      <alignment horizontal="center" vertical="center" wrapText="1"/>
      <protection locked="0" hidden="1"/>
    </xf>
    <xf numFmtId="0" fontId="15" fillId="0" borderId="0" xfId="1" applyFont="1" applyBorder="1" applyAlignment="1" applyProtection="1">
      <alignment horizontal="left" vertical="center" wrapText="1"/>
      <protection locked="0" hidden="1"/>
    </xf>
    <xf numFmtId="0" fontId="16" fillId="4" borderId="43" xfId="1" applyFont="1" applyFill="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2" fontId="27" fillId="0" borderId="0" xfId="1" applyNumberFormat="1" applyFont="1" applyFill="1" applyBorder="1" applyAlignment="1" applyProtection="1">
      <alignment horizontal="center" vertical="center" wrapText="1"/>
      <protection locked="0" hidden="1"/>
    </xf>
    <xf numFmtId="0" fontId="19" fillId="0" borderId="0" xfId="1" applyFont="1" applyFill="1" applyBorder="1" applyAlignment="1" applyProtection="1">
      <alignment horizontal="center" vertical="center" wrapText="1"/>
      <protection locked="0" hidden="1"/>
    </xf>
    <xf numFmtId="0" fontId="8" fillId="0" borderId="0" xfId="1" applyFill="1" applyBorder="1" applyAlignment="1" applyProtection="1">
      <alignment vertical="center" wrapText="1"/>
      <protection locked="0" hidden="1"/>
    </xf>
    <xf numFmtId="2" fontId="18" fillId="0" borderId="0" xfId="1" applyNumberFormat="1" applyFont="1" applyFill="1" applyBorder="1" applyAlignment="1" applyProtection="1">
      <alignment horizontal="left" vertical="center" wrapText="1"/>
      <protection locked="0" hidden="1"/>
    </xf>
    <xf numFmtId="2" fontId="17" fillId="0" borderId="0" xfId="1" applyNumberFormat="1" applyFont="1" applyFill="1" applyBorder="1" applyAlignment="1" applyProtection="1">
      <alignment horizontal="center" vertical="center" wrapText="1"/>
      <protection locked="0" hidden="1"/>
    </xf>
    <xf numFmtId="0" fontId="21" fillId="0" borderId="1"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hidden="1"/>
    </xf>
    <xf numFmtId="2" fontId="11" fillId="6" borderId="1" xfId="1" applyNumberFormat="1" applyFont="1" applyFill="1" applyBorder="1" applyAlignment="1" applyProtection="1">
      <alignment horizontal="center" vertical="center" wrapText="1"/>
      <protection hidden="1"/>
    </xf>
    <xf numFmtId="0" fontId="9" fillId="6" borderId="1" xfId="1" applyFont="1" applyFill="1" applyBorder="1" applyAlignment="1" applyProtection="1">
      <alignment horizontal="center" vertical="center" wrapText="1"/>
      <protection hidden="1"/>
    </xf>
    <xf numFmtId="0" fontId="15" fillId="0" borderId="0" xfId="1" applyFont="1" applyBorder="1" applyAlignment="1" applyProtection="1">
      <alignment vertical="center" wrapText="1"/>
      <protection hidden="1"/>
    </xf>
    <xf numFmtId="0" fontId="9" fillId="0" borderId="1" xfId="1" applyFont="1" applyBorder="1" applyAlignment="1" applyProtection="1">
      <alignment horizontal="center" vertical="center" wrapText="1"/>
      <protection hidden="1"/>
    </xf>
    <xf numFmtId="0" fontId="9" fillId="0" borderId="0" xfId="1" applyFont="1" applyBorder="1" applyAlignment="1" applyProtection="1">
      <alignment horizontal="center" vertical="center" wrapText="1"/>
      <protection hidden="1"/>
    </xf>
    <xf numFmtId="0" fontId="9" fillId="0" borderId="0" xfId="1" applyFont="1" applyBorder="1" applyAlignment="1" applyProtection="1">
      <alignment vertical="center" wrapText="1"/>
      <protection hidden="1"/>
    </xf>
    <xf numFmtId="0" fontId="9" fillId="0" borderId="0" xfId="1" applyFont="1" applyFill="1" applyBorder="1" applyAlignment="1" applyProtection="1">
      <alignment vertical="center" wrapText="1"/>
      <protection hidden="1"/>
    </xf>
    <xf numFmtId="0" fontId="9" fillId="8" borderId="1" xfId="1" applyFont="1" applyFill="1" applyBorder="1" applyAlignment="1" applyProtection="1">
      <alignment horizontal="center" vertical="center" wrapText="1"/>
      <protection hidden="1"/>
    </xf>
    <xf numFmtId="0" fontId="8" fillId="8" borderId="1" xfId="1" applyFill="1" applyBorder="1" applyAlignment="1" applyProtection="1">
      <alignment horizontal="center" vertical="center" wrapText="1"/>
      <protection hidden="1"/>
    </xf>
    <xf numFmtId="0" fontId="11" fillId="5" borderId="41" xfId="1" applyFont="1" applyFill="1" applyBorder="1" applyAlignment="1" applyProtection="1">
      <alignment horizontal="left" vertical="center" wrapText="1"/>
      <protection locked="0" hidden="1"/>
    </xf>
    <xf numFmtId="0" fontId="11" fillId="5" borderId="42" xfId="1" applyFont="1" applyFill="1" applyBorder="1" applyAlignment="1" applyProtection="1">
      <alignment horizontal="left" vertical="center" wrapText="1"/>
      <protection locked="0" hidden="1"/>
    </xf>
    <xf numFmtId="0" fontId="11" fillId="5" borderId="6" xfId="1" applyFont="1" applyFill="1" applyBorder="1" applyAlignment="1" applyProtection="1">
      <alignment horizontal="center" vertical="center" wrapText="1"/>
      <protection locked="0" hidden="1"/>
    </xf>
    <xf numFmtId="0" fontId="9" fillId="0" borderId="1" xfId="1" applyFont="1" applyFill="1" applyBorder="1" applyAlignment="1" applyProtection="1">
      <alignment horizontal="center" vertical="center" wrapText="1"/>
      <protection hidden="1"/>
    </xf>
    <xf numFmtId="0" fontId="9" fillId="0" borderId="22" xfId="1" applyFont="1" applyFill="1" applyBorder="1" applyAlignment="1" applyProtection="1">
      <alignment horizontal="center" vertical="center" wrapText="1"/>
      <protection hidden="1"/>
    </xf>
    <xf numFmtId="0" fontId="9" fillId="0" borderId="23" xfId="1" applyFont="1" applyFill="1" applyBorder="1" applyAlignment="1" applyProtection="1">
      <alignment horizontal="center" vertical="center" wrapText="1"/>
      <protection hidden="1"/>
    </xf>
    <xf numFmtId="0" fontId="9" fillId="0" borderId="20" xfId="1" applyFont="1" applyFill="1" applyBorder="1" applyAlignment="1" applyProtection="1">
      <alignment horizontal="center" vertical="center" wrapText="1"/>
      <protection hidden="1"/>
    </xf>
    <xf numFmtId="0" fontId="9" fillId="0" borderId="21" xfId="1" applyFont="1" applyFill="1" applyBorder="1" applyAlignment="1" applyProtection="1">
      <alignment horizontal="center" vertical="center" wrapText="1"/>
      <protection hidden="1"/>
    </xf>
    <xf numFmtId="0" fontId="9" fillId="0" borderId="44" xfId="1" applyFont="1" applyFill="1" applyBorder="1" applyAlignment="1" applyProtection="1">
      <alignment horizontal="center" vertical="center" wrapText="1"/>
      <protection hidden="1"/>
    </xf>
    <xf numFmtId="0" fontId="9" fillId="0" borderId="47" xfId="1" applyFont="1" applyFill="1" applyBorder="1" applyAlignment="1" applyProtection="1">
      <alignment horizontal="center" vertical="center" wrapText="1"/>
      <protection hidden="1"/>
    </xf>
    <xf numFmtId="0" fontId="9" fillId="0" borderId="3" xfId="1" applyFont="1" applyFill="1" applyBorder="1" applyAlignment="1" applyProtection="1">
      <alignment horizontal="center" vertical="center" wrapText="1"/>
      <protection hidden="1"/>
    </xf>
    <xf numFmtId="0" fontId="9" fillId="0" borderId="48" xfId="1" applyFont="1" applyFill="1" applyBorder="1" applyAlignment="1" applyProtection="1">
      <alignment horizontal="center" vertical="center" wrapText="1"/>
      <protection hidden="1"/>
    </xf>
    <xf numFmtId="0" fontId="21" fillId="9" borderId="43" xfId="1" applyFont="1" applyFill="1" applyBorder="1" applyAlignment="1" applyProtection="1">
      <alignment horizontal="center" vertical="center" wrapText="1"/>
      <protection hidden="1"/>
    </xf>
    <xf numFmtId="0" fontId="21" fillId="9" borderId="46" xfId="1" applyFont="1" applyFill="1" applyBorder="1" applyAlignment="1" applyProtection="1">
      <alignment horizontal="center" vertical="center" wrapText="1"/>
      <protection hidden="1"/>
    </xf>
    <xf numFmtId="0" fontId="21" fillId="9" borderId="42" xfId="1" applyFont="1" applyFill="1" applyBorder="1" applyAlignment="1" applyProtection="1">
      <alignment horizontal="center" vertical="center" wrapText="1"/>
      <protection hidden="1"/>
    </xf>
    <xf numFmtId="0" fontId="10" fillId="0" borderId="3" xfId="1" applyFont="1" applyBorder="1" applyAlignment="1" applyProtection="1">
      <alignment horizontal="center" vertical="center" wrapText="1"/>
      <protection locked="0" hidden="1"/>
    </xf>
    <xf numFmtId="0" fontId="21" fillId="0" borderId="3" xfId="1" applyFont="1" applyBorder="1" applyAlignment="1" applyProtection="1">
      <alignment horizontal="center" vertical="center" wrapText="1"/>
      <protection locked="0" hidden="1"/>
    </xf>
    <xf numFmtId="0" fontId="10" fillId="3" borderId="3" xfId="1" applyFont="1" applyFill="1" applyBorder="1" applyAlignment="1" applyProtection="1">
      <alignment horizontal="center" vertical="center" wrapText="1"/>
      <protection locked="0" hidden="1"/>
    </xf>
    <xf numFmtId="2" fontId="10" fillId="0" borderId="3" xfId="1" applyNumberFormat="1" applyFont="1" applyBorder="1" applyAlignment="1" applyProtection="1">
      <alignment horizontal="center" vertical="center" wrapText="1"/>
      <protection hidden="1"/>
    </xf>
    <xf numFmtId="0" fontId="20" fillId="5" borderId="43" xfId="1" applyFont="1" applyFill="1" applyBorder="1" applyAlignment="1" applyProtection="1">
      <alignment horizontal="center" vertical="center" wrapText="1"/>
      <protection locked="0" hidden="1"/>
    </xf>
    <xf numFmtId="0" fontId="11" fillId="5" borderId="42" xfId="1" applyFont="1" applyFill="1" applyBorder="1" applyAlignment="1" applyProtection="1">
      <alignment horizontal="center" vertical="center" wrapText="1"/>
      <protection locked="0" hidden="1"/>
    </xf>
    <xf numFmtId="0" fontId="11" fillId="5" borderId="49" xfId="1" applyFont="1" applyFill="1" applyBorder="1" applyAlignment="1" applyProtection="1">
      <alignment horizontal="center" vertical="center" wrapText="1"/>
      <protection locked="0" hidden="1"/>
    </xf>
    <xf numFmtId="4" fontId="8" fillId="0" borderId="0" xfId="1" applyNumberFormat="1" applyBorder="1" applyAlignment="1" applyProtection="1">
      <alignment vertical="center" wrapText="1"/>
      <protection hidden="1"/>
    </xf>
    <xf numFmtId="0" fontId="3"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Alignment="1">
      <alignment horizontal="center" vertical="center"/>
    </xf>
    <xf numFmtId="0" fontId="26" fillId="0" borderId="0" xfId="0" applyFont="1" applyFill="1" applyBorder="1" applyAlignment="1">
      <alignment horizontal="center" vertical="center" wrapText="1"/>
    </xf>
    <xf numFmtId="14" fontId="10" fillId="0" borderId="0" xfId="1" applyNumberFormat="1" applyFont="1" applyFill="1" applyBorder="1" applyAlignment="1" applyProtection="1">
      <alignment horizontal="center" vertical="center" wrapText="1"/>
      <protection locked="0" hidden="1"/>
    </xf>
    <xf numFmtId="0" fontId="10" fillId="10" borderId="42" xfId="1" applyNumberFormat="1" applyFont="1" applyFill="1" applyBorder="1" applyAlignment="1" applyProtection="1">
      <alignment vertical="center" wrapText="1"/>
      <protection locked="0" hidden="1"/>
    </xf>
    <xf numFmtId="0" fontId="33" fillId="6" borderId="42" xfId="0" applyFont="1" applyFill="1" applyBorder="1" applyAlignment="1" applyProtection="1">
      <alignment horizontal="center" vertical="center" wrapText="1"/>
      <protection locked="0" hidden="1"/>
    </xf>
    <xf numFmtId="0" fontId="11" fillId="10" borderId="41"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hidden="1"/>
    </xf>
    <xf numFmtId="0" fontId="15" fillId="10" borderId="42" xfId="1" applyFont="1" applyFill="1" applyBorder="1" applyAlignment="1" applyProtection="1">
      <alignment horizontal="center" vertical="center" wrapText="1"/>
      <protection locked="0" hidden="1"/>
    </xf>
    <xf numFmtId="10" fontId="17" fillId="6" borderId="42" xfId="1" applyNumberFormat="1" applyFont="1" applyFill="1" applyBorder="1" applyAlignment="1" applyProtection="1">
      <alignment horizontal="center" vertical="center" wrapText="1"/>
      <protection locked="0" hidden="1"/>
    </xf>
    <xf numFmtId="49" fontId="0" fillId="0" borderId="0" xfId="0" applyNumberFormat="1" applyProtection="1">
      <protection hidden="1"/>
    </xf>
    <xf numFmtId="0" fontId="11" fillId="0" borderId="0" xfId="1" applyFont="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0" fontId="22" fillId="0" borderId="0" xfId="2" applyFont="1" applyFill="1" applyBorder="1" applyAlignment="1" applyProtection="1">
      <alignment vertical="center" wrapText="1"/>
      <protection locked="0" hidden="1"/>
    </xf>
    <xf numFmtId="0" fontId="23" fillId="0" borderId="0" xfId="2" applyFont="1" applyFill="1" applyBorder="1" applyAlignment="1" applyProtection="1">
      <alignment vertical="center" wrapText="1"/>
      <protection locked="0" hidden="1"/>
    </xf>
    <xf numFmtId="0" fontId="22" fillId="0" borderId="0" xfId="2" applyFont="1" applyFill="1" applyBorder="1" applyAlignment="1" applyProtection="1">
      <alignment horizontal="center" vertical="center" wrapText="1"/>
      <protection locked="0" hidden="1"/>
    </xf>
    <xf numFmtId="0" fontId="23" fillId="12" borderId="13" xfId="2" applyFont="1" applyFill="1" applyBorder="1" applyAlignment="1" applyProtection="1">
      <alignment vertical="center" wrapText="1"/>
      <protection locked="0" hidden="1"/>
    </xf>
    <xf numFmtId="0" fontId="13" fillId="0" borderId="0" xfId="1" applyFont="1" applyFill="1" applyBorder="1" applyAlignment="1" applyProtection="1">
      <alignment horizontal="center" vertical="center" wrapText="1"/>
      <protection locked="0" hidden="1"/>
    </xf>
    <xf numFmtId="0" fontId="15" fillId="0" borderId="0" xfId="1" applyFont="1" applyFill="1" applyBorder="1" applyAlignment="1" applyProtection="1">
      <alignment horizontal="center" vertical="center" wrapText="1"/>
      <protection locked="0" hidden="1"/>
    </xf>
    <xf numFmtId="2" fontId="15" fillId="5" borderId="42" xfId="1" applyNumberFormat="1" applyFont="1" applyFill="1" applyBorder="1" applyAlignment="1" applyProtection="1">
      <alignment horizontal="left" vertical="center" wrapText="1"/>
      <protection locked="0" hidden="1"/>
    </xf>
    <xf numFmtId="0" fontId="10" fillId="0" borderId="0" xfId="1" applyFont="1" applyBorder="1" applyAlignment="1" applyProtection="1">
      <alignment horizontal="center" vertical="center" wrapText="1"/>
      <protection hidden="1"/>
    </xf>
    <xf numFmtId="0" fontId="22" fillId="12" borderId="51" xfId="2" applyFont="1" applyFill="1" applyBorder="1" applyAlignment="1" applyProtection="1">
      <alignment horizontal="center" vertical="center" wrapText="1"/>
      <protection locked="0" hidden="1"/>
    </xf>
    <xf numFmtId="0" fontId="23" fillId="2" borderId="53" xfId="2" applyFont="1" applyFill="1" applyBorder="1" applyAlignment="1" applyProtection="1">
      <alignment vertical="center" wrapText="1"/>
      <protection locked="0" hidden="1"/>
    </xf>
    <xf numFmtId="0" fontId="23" fillId="11" borderId="53" xfId="2" applyFont="1" applyFill="1" applyBorder="1" applyAlignment="1" applyProtection="1">
      <alignment vertical="center" wrapText="1"/>
      <protection locked="0" hidden="1"/>
    </xf>
    <xf numFmtId="0" fontId="23" fillId="11" borderId="54" xfId="2" applyFont="1" applyFill="1" applyBorder="1" applyAlignment="1" applyProtection="1">
      <alignment vertical="center" wrapText="1"/>
      <protection locked="0" hidden="1"/>
    </xf>
    <xf numFmtId="0" fontId="23" fillId="13" borderId="53" xfId="2" applyFont="1" applyFill="1" applyBorder="1" applyAlignment="1" applyProtection="1">
      <alignment vertical="center" wrapText="1"/>
      <protection locked="0" hidden="1"/>
    </xf>
    <xf numFmtId="0" fontId="23" fillId="13" borderId="52" xfId="2" applyFont="1" applyFill="1" applyBorder="1" applyAlignment="1" applyProtection="1">
      <alignment vertical="center" wrapText="1"/>
      <protection locked="0" hidden="1"/>
    </xf>
    <xf numFmtId="2" fontId="11" fillId="6" borderId="33" xfId="1" applyNumberFormat="1" applyFont="1" applyFill="1" applyBorder="1" applyAlignment="1" applyProtection="1">
      <alignment horizontal="center" vertical="center" wrapText="1"/>
      <protection hidden="1"/>
    </xf>
    <xf numFmtId="2" fontId="11" fillId="0" borderId="0" xfId="1" applyNumberFormat="1" applyFont="1" applyFill="1" applyBorder="1" applyAlignment="1" applyProtection="1">
      <alignment horizontal="center" vertical="center" wrapText="1"/>
      <protection hidden="1"/>
    </xf>
    <xf numFmtId="0" fontId="10" fillId="0" borderId="0" xfId="1" applyFont="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locked="0" hidden="1"/>
    </xf>
    <xf numFmtId="4" fontId="10" fillId="14" borderId="0" xfId="1" applyNumberFormat="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hidden="1"/>
    </xf>
    <xf numFmtId="4" fontId="11" fillId="14" borderId="0" xfId="1" applyNumberFormat="1" applyFont="1" applyFill="1" applyBorder="1" applyAlignment="1" applyProtection="1">
      <alignment horizontal="center" vertical="center" wrapText="1"/>
      <protection hidden="1"/>
    </xf>
    <xf numFmtId="2" fontId="11" fillId="14" borderId="0" xfId="1" applyNumberFormat="1" applyFont="1" applyFill="1" applyBorder="1" applyAlignment="1" applyProtection="1">
      <alignment horizontal="center" vertical="center" wrapText="1"/>
      <protection locked="0" hidden="1"/>
    </xf>
    <xf numFmtId="2" fontId="11" fillId="14" borderId="0" xfId="1" applyNumberFormat="1" applyFont="1" applyFill="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hidden="1"/>
    </xf>
    <xf numFmtId="0" fontId="0" fillId="15" borderId="0" xfId="0" applyFont="1" applyFill="1" applyProtection="1"/>
    <xf numFmtId="164" fontId="0" fillId="15" borderId="0" xfId="0" applyNumberFormat="1" applyFont="1" applyFill="1" applyAlignment="1" applyProtection="1">
      <alignment horizontal="center"/>
    </xf>
    <xf numFmtId="0" fontId="26" fillId="15" borderId="42" xfId="0" applyFont="1" applyFill="1" applyBorder="1" applyAlignment="1" applyProtection="1">
      <alignment horizontal="center"/>
    </xf>
    <xf numFmtId="0" fontId="0" fillId="15" borderId="0" xfId="0" applyFont="1" applyFill="1" applyAlignment="1" applyProtection="1">
      <alignment horizontal="center" vertical="center" wrapText="1"/>
    </xf>
    <xf numFmtId="0" fontId="0" fillId="15" borderId="1" xfId="0" applyFont="1" applyFill="1" applyBorder="1" applyAlignment="1" applyProtection="1">
      <alignment horizontal="center" vertical="center" wrapText="1"/>
    </xf>
    <xf numFmtId="164" fontId="0" fillId="15" borderId="1" xfId="0" applyNumberFormat="1" applyFont="1" applyFill="1" applyBorder="1" applyAlignment="1" applyProtection="1">
      <alignment horizontal="center" vertical="center" wrapText="1"/>
    </xf>
    <xf numFmtId="0" fontId="0" fillId="15" borderId="1" xfId="0" applyFont="1" applyFill="1" applyBorder="1" applyAlignment="1" applyProtection="1">
      <alignment horizontal="center"/>
    </xf>
    <xf numFmtId="0" fontId="0" fillId="15" borderId="1" xfId="2" applyFont="1" applyFill="1" applyBorder="1" applyAlignment="1" applyProtection="1">
      <alignment vertical="center" wrapText="1"/>
    </xf>
    <xf numFmtId="164" fontId="0" fillId="15" borderId="1" xfId="0" applyNumberFormat="1" applyFont="1" applyFill="1" applyBorder="1" applyAlignment="1" applyProtection="1">
      <alignment horizontal="center"/>
    </xf>
    <xf numFmtId="0" fontId="0" fillId="15" borderId="1" xfId="2" applyFont="1" applyFill="1" applyBorder="1" applyAlignment="1" applyProtection="1">
      <alignment horizontal="center" vertical="center" wrapText="1"/>
    </xf>
    <xf numFmtId="0" fontId="0" fillId="15" borderId="3" xfId="0" applyFont="1" applyFill="1" applyBorder="1" applyAlignment="1" applyProtection="1">
      <alignment horizontal="center"/>
    </xf>
    <xf numFmtId="0" fontId="0" fillId="15" borderId="3" xfId="0" applyFont="1" applyFill="1" applyBorder="1" applyProtection="1"/>
    <xf numFmtId="164" fontId="0" fillId="15" borderId="3" xfId="0" applyNumberFormat="1" applyFont="1" applyFill="1" applyBorder="1" applyAlignment="1" applyProtection="1">
      <alignment horizontal="center"/>
    </xf>
    <xf numFmtId="2" fontId="0" fillId="15" borderId="3" xfId="0" applyNumberFormat="1" applyFont="1" applyFill="1" applyBorder="1" applyAlignment="1" applyProtection="1">
      <alignment horizontal="center"/>
    </xf>
    <xf numFmtId="0" fontId="0" fillId="15" borderId="4" xfId="0" applyFont="1" applyFill="1" applyBorder="1" applyAlignment="1" applyProtection="1">
      <alignment horizontal="center"/>
    </xf>
    <xf numFmtId="0" fontId="0" fillId="15" borderId="1" xfId="0" applyFont="1" applyFill="1" applyBorder="1" applyProtection="1"/>
    <xf numFmtId="2" fontId="0" fillId="15" borderId="1" xfId="0" applyNumberFormat="1" applyFont="1" applyFill="1" applyBorder="1" applyAlignment="1" applyProtection="1">
      <alignment horizontal="center"/>
    </xf>
    <xf numFmtId="2" fontId="0" fillId="15" borderId="0" xfId="0" applyNumberFormat="1" applyFont="1" applyFill="1" applyAlignment="1" applyProtection="1">
      <alignment horizontal="center"/>
    </xf>
    <xf numFmtId="0" fontId="10" fillId="15" borderId="0" xfId="1" applyFont="1" applyFill="1" applyBorder="1" applyAlignment="1" applyProtection="1">
      <alignment horizontal="center" vertical="center" wrapText="1"/>
      <protection hidden="1"/>
    </xf>
    <xf numFmtId="0" fontId="29" fillId="15" borderId="1" xfId="1" applyFont="1" applyFill="1" applyBorder="1" applyAlignment="1" applyProtection="1">
      <alignment horizontal="center" vertical="center" wrapText="1"/>
      <protection hidden="1"/>
    </xf>
    <xf numFmtId="0" fontId="10" fillId="15" borderId="46" xfId="1" applyFont="1" applyFill="1" applyBorder="1" applyAlignment="1" applyProtection="1">
      <alignment horizontal="center" vertical="center" wrapText="1"/>
      <protection hidden="1"/>
    </xf>
    <xf numFmtId="0" fontId="10" fillId="15" borderId="42" xfId="1" applyFont="1" applyFill="1" applyBorder="1" applyAlignment="1" applyProtection="1">
      <alignment horizontal="center" vertical="center" wrapText="1"/>
      <protection hidden="1"/>
    </xf>
    <xf numFmtId="0" fontId="10" fillId="15" borderId="1" xfId="1" applyFont="1" applyFill="1" applyBorder="1" applyAlignment="1" applyProtection="1">
      <alignment horizontal="center" vertical="center" wrapText="1"/>
      <protection hidden="1"/>
    </xf>
    <xf numFmtId="2" fontId="10" fillId="15" borderId="1" xfId="1" applyNumberFormat="1" applyFont="1" applyFill="1" applyBorder="1" applyAlignment="1" applyProtection="1">
      <alignment horizontal="center" vertical="center" wrapText="1"/>
      <protection hidden="1"/>
    </xf>
    <xf numFmtId="2" fontId="10" fillId="15" borderId="45" xfId="1" applyNumberFormat="1" applyFont="1" applyFill="1" applyBorder="1" applyAlignment="1" applyProtection="1">
      <alignment horizontal="center" vertical="center" wrapText="1"/>
      <protection hidden="1"/>
    </xf>
    <xf numFmtId="2" fontId="11" fillId="15" borderId="1" xfId="1" applyNumberFormat="1" applyFont="1" applyFill="1" applyBorder="1" applyAlignment="1" applyProtection="1">
      <alignment horizontal="center" vertical="center" wrapText="1"/>
      <protection hidden="1"/>
    </xf>
    <xf numFmtId="0" fontId="8" fillId="15" borderId="0" xfId="1" applyFont="1" applyFill="1" applyBorder="1" applyAlignment="1" applyProtection="1">
      <alignment vertical="center" wrapText="1"/>
      <protection hidden="1"/>
    </xf>
    <xf numFmtId="0" fontId="11" fillId="15" borderId="1" xfId="1" applyFont="1" applyFill="1" applyBorder="1" applyAlignment="1" applyProtection="1">
      <alignment horizontal="center" vertical="center" wrapText="1"/>
      <protection hidden="1"/>
    </xf>
    <xf numFmtId="0" fontId="10" fillId="15" borderId="1" xfId="0" applyFont="1" applyFill="1" applyBorder="1" applyAlignment="1" applyProtection="1">
      <alignment horizontal="center" vertical="center" wrapText="1"/>
      <protection hidden="1"/>
    </xf>
    <xf numFmtId="0" fontId="8" fillId="15" borderId="1" xfId="1" applyFont="1" applyFill="1" applyBorder="1" applyAlignment="1" applyProtection="1">
      <alignment vertical="center" wrapText="1"/>
      <protection hidden="1"/>
    </xf>
    <xf numFmtId="0" fontId="0" fillId="0" borderId="0" xfId="0" applyBorder="1" applyProtection="1">
      <protection locked="0" hidden="1"/>
    </xf>
    <xf numFmtId="0" fontId="0" fillId="0" borderId="0" xfId="0" applyProtection="1">
      <protection locked="0" hidden="1"/>
    </xf>
    <xf numFmtId="0" fontId="0" fillId="0" borderId="0" xfId="0" applyAlignment="1" applyProtection="1">
      <alignment horizontal="center"/>
      <protection locked="0" hidden="1"/>
    </xf>
    <xf numFmtId="2" fontId="0" fillId="0" borderId="0" xfId="0" applyNumberFormat="1" applyProtection="1">
      <protection locked="0" hidden="1"/>
    </xf>
    <xf numFmtId="49" fontId="0" fillId="0" borderId="0" xfId="0" applyNumberFormat="1" applyProtection="1">
      <protection locked="0" hidden="1"/>
    </xf>
    <xf numFmtId="0" fontId="2" fillId="15" borderId="0" xfId="0" applyFont="1" applyFill="1" applyAlignment="1" applyProtection="1">
      <alignment horizontal="center" vertical="center"/>
      <protection locked="0" hidden="1"/>
    </xf>
    <xf numFmtId="0" fontId="2" fillId="15" borderId="0" xfId="0" applyFont="1" applyFill="1" applyAlignment="1" applyProtection="1">
      <alignment vertical="center"/>
      <protection locked="0" hidden="1"/>
    </xf>
    <xf numFmtId="0" fontId="3" fillId="15" borderId="0" xfId="0" applyFont="1" applyFill="1" applyAlignment="1" applyProtection="1">
      <alignment vertical="center"/>
      <protection locked="0" hidden="1"/>
    </xf>
    <xf numFmtId="0" fontId="3" fillId="15" borderId="42" xfId="0" applyFont="1" applyFill="1" applyBorder="1" applyAlignment="1" applyProtection="1">
      <alignment vertical="center"/>
      <protection locked="0" hidden="1"/>
    </xf>
    <xf numFmtId="0" fontId="4" fillId="15" borderId="0" xfId="0" applyFont="1" applyFill="1" applyBorder="1" applyAlignment="1" applyProtection="1">
      <alignment horizontal="left" vertical="center"/>
      <protection locked="0" hidden="1"/>
    </xf>
    <xf numFmtId="0" fontId="1" fillId="15" borderId="0" xfId="0" applyFont="1" applyFill="1" applyAlignment="1" applyProtection="1">
      <alignment vertical="center"/>
      <protection locked="0" hidden="1"/>
    </xf>
    <xf numFmtId="0" fontId="3" fillId="15" borderId="0" xfId="0" applyFont="1" applyFill="1" applyBorder="1" applyAlignment="1" applyProtection="1">
      <alignment vertical="center"/>
      <protection locked="0" hidden="1"/>
    </xf>
    <xf numFmtId="0" fontId="6" fillId="15" borderId="0" xfId="0" applyFont="1" applyFill="1" applyBorder="1" applyAlignment="1" applyProtection="1">
      <alignment horizontal="right"/>
      <protection locked="0" hidden="1"/>
    </xf>
    <xf numFmtId="0" fontId="1" fillId="15" borderId="0" xfId="0" applyNumberFormat="1" applyFont="1" applyFill="1" applyBorder="1" applyAlignment="1" applyProtection="1">
      <alignment vertical="center" textRotation="180"/>
      <protection locked="0" hidden="1"/>
    </xf>
    <xf numFmtId="0" fontId="1" fillId="15" borderId="0"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textRotation="180"/>
      <protection locked="0" hidden="1"/>
    </xf>
    <xf numFmtId="0" fontId="1" fillId="15" borderId="14"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26" xfId="0" applyFont="1" applyFill="1" applyBorder="1" applyAlignment="1" applyProtection="1">
      <alignment horizontal="center" vertical="center"/>
      <protection locked="0" hidden="1"/>
    </xf>
    <xf numFmtId="0" fontId="1" fillId="15" borderId="27" xfId="0" applyFont="1" applyFill="1" applyBorder="1" applyAlignment="1" applyProtection="1">
      <alignment horizontal="center" vertical="center"/>
      <protection locked="0" hidden="1"/>
    </xf>
    <xf numFmtId="0" fontId="3" fillId="15" borderId="14" xfId="0" applyFont="1" applyFill="1" applyBorder="1" applyAlignment="1" applyProtection="1">
      <alignment horizontal="center" vertical="center"/>
      <protection locked="0" hidden="1"/>
    </xf>
    <xf numFmtId="0" fontId="3" fillId="15" borderId="18" xfId="0" applyFont="1" applyFill="1" applyBorder="1" applyAlignment="1" applyProtection="1">
      <alignment horizontal="center" vertical="center"/>
      <protection locked="0" hidden="1"/>
    </xf>
    <xf numFmtId="0" fontId="3" fillId="15" borderId="19" xfId="0" applyFont="1" applyFill="1" applyBorder="1" applyAlignment="1" applyProtection="1">
      <alignment horizontal="center" vertical="center"/>
      <protection locked="0" hidden="1"/>
    </xf>
    <xf numFmtId="0" fontId="3" fillId="15" borderId="0" xfId="0" applyFont="1" applyFill="1" applyBorder="1" applyAlignment="1" applyProtection="1">
      <alignment horizontal="center" vertical="center"/>
      <protection locked="0" hidden="1"/>
    </xf>
    <xf numFmtId="0" fontId="3" fillId="15" borderId="22" xfId="0" applyFont="1" applyFill="1" applyBorder="1" applyAlignment="1" applyProtection="1">
      <alignment horizontal="center" vertical="center"/>
      <protection locked="0" hidden="1"/>
    </xf>
    <xf numFmtId="0" fontId="3" fillId="15" borderId="1" xfId="0" applyFont="1" applyFill="1" applyBorder="1" applyAlignment="1" applyProtection="1">
      <alignment horizontal="center" vertical="center"/>
      <protection locked="0" hidden="1"/>
    </xf>
    <xf numFmtId="0" fontId="3" fillId="15" borderId="23"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wrapText="1"/>
      <protection locked="0" hidden="1"/>
    </xf>
    <xf numFmtId="0" fontId="3" fillId="15" borderId="20" xfId="0" applyFont="1" applyFill="1" applyBorder="1" applyAlignment="1" applyProtection="1">
      <alignment horizontal="center" vertical="center"/>
      <protection locked="0" hidden="1"/>
    </xf>
    <xf numFmtId="0" fontId="3" fillId="15" borderId="21" xfId="0" applyFont="1" applyFill="1" applyBorder="1" applyAlignment="1" applyProtection="1">
      <alignment horizontal="center" vertical="center"/>
      <protection locked="0" hidden="1"/>
    </xf>
    <xf numFmtId="0" fontId="3" fillId="15" borderId="44" xfId="0" applyFont="1" applyFill="1" applyBorder="1" applyAlignment="1" applyProtection="1">
      <alignment horizontal="center" vertical="center"/>
      <protection locked="0" hidden="1"/>
    </xf>
    <xf numFmtId="0" fontId="34" fillId="15" borderId="0" xfId="0" applyFont="1" applyFill="1" applyBorder="1" applyProtection="1">
      <protection locked="0" hidden="1"/>
    </xf>
    <xf numFmtId="0" fontId="35" fillId="15" borderId="0" xfId="0" applyFont="1" applyFill="1" applyBorder="1" applyAlignment="1" applyProtection="1">
      <alignment horizontal="center"/>
      <protection locked="0" hidden="1"/>
    </xf>
    <xf numFmtId="0" fontId="34" fillId="15" borderId="0" xfId="0" applyFont="1" applyFill="1" applyBorder="1" applyAlignment="1" applyProtection="1">
      <alignment wrapText="1"/>
      <protection locked="0" hidden="1"/>
    </xf>
    <xf numFmtId="0" fontId="34" fillId="15" borderId="0" xfId="0" applyFont="1" applyFill="1" applyBorder="1" applyAlignment="1" applyProtection="1">
      <alignment horizontal="center"/>
      <protection locked="0" hidden="1"/>
    </xf>
    <xf numFmtId="2" fontId="34" fillId="15" borderId="0" xfId="0" applyNumberFormat="1" applyFont="1" applyFill="1" applyBorder="1" applyProtection="1">
      <protection locked="0" hidden="1"/>
    </xf>
    <xf numFmtId="49" fontId="34" fillId="15" borderId="0" xfId="0" applyNumberFormat="1" applyFont="1" applyFill="1" applyBorder="1" applyProtection="1">
      <protection locked="0" hidden="1"/>
    </xf>
    <xf numFmtId="0" fontId="34" fillId="15" borderId="2" xfId="0" applyFont="1" applyFill="1" applyBorder="1" applyAlignment="1" applyProtection="1">
      <alignment horizontal="center"/>
      <protection locked="0" hidden="1"/>
    </xf>
    <xf numFmtId="0" fontId="34" fillId="15" borderId="2" xfId="0" applyFont="1" applyFill="1" applyBorder="1" applyAlignment="1" applyProtection="1">
      <alignment horizontal="center" wrapText="1"/>
      <protection locked="0" hidden="1"/>
    </xf>
    <xf numFmtId="0" fontId="34" fillId="15" borderId="27" xfId="0" applyFont="1" applyFill="1" applyBorder="1" applyAlignment="1" applyProtection="1">
      <alignment horizontal="center" wrapText="1"/>
      <protection locked="0" hidden="1"/>
    </xf>
    <xf numFmtId="0" fontId="34" fillId="15" borderId="35" xfId="0" applyFont="1" applyFill="1" applyBorder="1" applyAlignment="1" applyProtection="1">
      <alignment horizontal="center" wrapText="1"/>
      <protection locked="0" hidden="1"/>
    </xf>
    <xf numFmtId="0" fontId="34" fillId="15" borderId="36" xfId="0" applyFont="1" applyFill="1" applyBorder="1" applyAlignment="1" applyProtection="1">
      <alignment horizontal="center"/>
      <protection locked="0" hidden="1"/>
    </xf>
    <xf numFmtId="0" fontId="34" fillId="15" borderId="37" xfId="0" applyFont="1" applyFill="1" applyBorder="1" applyAlignment="1" applyProtection="1">
      <alignment horizontal="center"/>
      <protection locked="0" hidden="1"/>
    </xf>
    <xf numFmtId="0" fontId="34" fillId="15" borderId="41" xfId="0" applyFont="1" applyFill="1" applyBorder="1" applyAlignment="1" applyProtection="1">
      <alignment horizontal="center"/>
      <protection locked="0" hidden="1"/>
    </xf>
    <xf numFmtId="0" fontId="34" fillId="15" borderId="1" xfId="0" applyFont="1" applyFill="1" applyBorder="1" applyAlignment="1" applyProtection="1">
      <alignment horizontal="center"/>
      <protection locked="0" hidden="1"/>
    </xf>
    <xf numFmtId="0" fontId="34" fillId="15" borderId="1" xfId="0" applyFont="1" applyFill="1" applyBorder="1" applyProtection="1">
      <protection locked="0" hidden="1"/>
    </xf>
    <xf numFmtId="164" fontId="34" fillId="15" borderId="1" xfId="0" applyNumberFormat="1" applyFont="1" applyFill="1" applyBorder="1" applyProtection="1">
      <protection locked="0" hidden="1"/>
    </xf>
    <xf numFmtId="0" fontId="34" fillId="15" borderId="0" xfId="0" applyFont="1" applyFill="1" applyProtection="1">
      <protection locked="0" hidden="1"/>
    </xf>
    <xf numFmtId="0" fontId="34" fillId="15" borderId="18" xfId="0" applyFont="1" applyFill="1" applyBorder="1" applyAlignment="1" applyProtection="1">
      <alignment horizontal="center"/>
      <protection locked="0" hidden="1"/>
    </xf>
    <xf numFmtId="0" fontId="34" fillId="15" borderId="18" xfId="0" applyFont="1" applyFill="1" applyBorder="1" applyAlignment="1" applyProtection="1">
      <alignment wrapText="1"/>
      <protection locked="0" hidden="1"/>
    </xf>
    <xf numFmtId="2" fontId="34" fillId="15" borderId="18" xfId="0" applyNumberFormat="1" applyFont="1" applyFill="1" applyBorder="1" applyAlignment="1" applyProtection="1">
      <alignment horizontal="center"/>
      <protection locked="0" hidden="1"/>
    </xf>
    <xf numFmtId="2" fontId="34" fillId="15" borderId="15" xfId="0" applyNumberFormat="1" applyFont="1" applyFill="1" applyBorder="1" applyAlignment="1" applyProtection="1">
      <alignment horizontal="center"/>
      <protection locked="0" hidden="1"/>
    </xf>
    <xf numFmtId="0" fontId="34" fillId="15" borderId="14" xfId="0" applyFont="1" applyFill="1" applyBorder="1" applyAlignment="1" applyProtection="1">
      <alignment horizontal="center"/>
      <protection locked="0" hidden="1"/>
    </xf>
    <xf numFmtId="0" fontId="34" fillId="15" borderId="15" xfId="0" applyFont="1" applyFill="1" applyBorder="1" applyAlignment="1" applyProtection="1">
      <alignment horizontal="center"/>
      <protection locked="0" hidden="1"/>
    </xf>
    <xf numFmtId="0" fontId="34" fillId="15" borderId="38" xfId="0" applyFont="1" applyFill="1" applyBorder="1" applyAlignment="1" applyProtection="1">
      <alignment horizontal="center"/>
      <protection locked="0" hidden="1"/>
    </xf>
    <xf numFmtId="0" fontId="34" fillId="15" borderId="1" xfId="0" applyFont="1" applyFill="1" applyBorder="1" applyAlignment="1" applyProtection="1">
      <alignment wrapText="1"/>
      <protection locked="0" hidden="1"/>
    </xf>
    <xf numFmtId="2" fontId="34" fillId="15" borderId="1" xfId="0" applyNumberFormat="1" applyFont="1" applyFill="1" applyBorder="1" applyAlignment="1" applyProtection="1">
      <alignment horizontal="center"/>
      <protection locked="0" hidden="1"/>
    </xf>
    <xf numFmtId="2" fontId="34" fillId="15" borderId="33" xfId="0" applyNumberFormat="1" applyFont="1" applyFill="1" applyBorder="1" applyAlignment="1" applyProtection="1">
      <alignment horizontal="center"/>
      <protection locked="0" hidden="1"/>
    </xf>
    <xf numFmtId="0" fontId="34" fillId="15" borderId="22" xfId="0" applyFont="1" applyFill="1" applyBorder="1" applyAlignment="1" applyProtection="1">
      <alignment horizontal="center"/>
      <protection locked="0" hidden="1"/>
    </xf>
    <xf numFmtId="0" fontId="34" fillId="15" borderId="33" xfId="0" applyFont="1" applyFill="1" applyBorder="1" applyAlignment="1" applyProtection="1">
      <alignment horizontal="center"/>
      <protection locked="0" hidden="1"/>
    </xf>
    <xf numFmtId="0" fontId="34" fillId="15" borderId="39" xfId="0" applyFont="1" applyFill="1" applyBorder="1" applyAlignment="1" applyProtection="1">
      <alignment horizontal="center"/>
      <protection locked="0" hidden="1"/>
    </xf>
    <xf numFmtId="0" fontId="35" fillId="15" borderId="0" xfId="0" applyFont="1" applyFill="1" applyBorder="1" applyProtection="1">
      <protection locked="0" hidden="1"/>
    </xf>
    <xf numFmtId="0" fontId="34" fillId="15" borderId="21" xfId="0" applyFont="1" applyFill="1" applyBorder="1" applyAlignment="1" applyProtection="1">
      <alignment horizontal="center"/>
      <protection locked="0" hidden="1"/>
    </xf>
    <xf numFmtId="0" fontId="34" fillId="15" borderId="21" xfId="0" applyFont="1" applyFill="1" applyBorder="1" applyAlignment="1" applyProtection="1">
      <alignment wrapText="1"/>
      <protection locked="0" hidden="1"/>
    </xf>
    <xf numFmtId="2" fontId="34" fillId="15" borderId="21" xfId="0" applyNumberFormat="1" applyFont="1" applyFill="1" applyBorder="1" applyAlignment="1" applyProtection="1">
      <alignment horizontal="center"/>
      <protection locked="0" hidden="1"/>
    </xf>
    <xf numFmtId="0" fontId="34" fillId="15" borderId="34" xfId="0" applyFont="1" applyFill="1" applyBorder="1" applyAlignment="1" applyProtection="1">
      <alignment horizontal="center"/>
      <protection locked="0" hidden="1"/>
    </xf>
    <xf numFmtId="0" fontId="34" fillId="15" borderId="20" xfId="0" applyFont="1" applyFill="1" applyBorder="1" applyAlignment="1" applyProtection="1">
      <alignment horizontal="center"/>
      <protection locked="0" hidden="1"/>
    </xf>
    <xf numFmtId="0" fontId="34" fillId="15" borderId="40" xfId="0" applyFont="1" applyFill="1" applyBorder="1" applyAlignment="1" applyProtection="1">
      <alignment horizontal="center"/>
      <protection locked="0" hidden="1"/>
    </xf>
    <xf numFmtId="0" fontId="34" fillId="15" borderId="0" xfId="0" applyFont="1" applyFill="1" applyBorder="1" applyAlignment="1" applyProtection="1">
      <alignment horizontal="right"/>
      <protection locked="0" hidden="1"/>
    </xf>
    <xf numFmtId="2" fontId="34" fillId="15" borderId="34" xfId="0" applyNumberFormat="1" applyFont="1" applyFill="1" applyBorder="1" applyAlignment="1" applyProtection="1">
      <alignment horizontal="center"/>
      <protection locked="0" hidden="1"/>
    </xf>
    <xf numFmtId="0" fontId="34" fillId="15" borderId="0" xfId="0" applyNumberFormat="1" applyFont="1" applyFill="1" applyProtection="1">
      <protection locked="0" hidden="1"/>
    </xf>
    <xf numFmtId="0" fontId="34" fillId="15" borderId="2" xfId="0" applyFont="1" applyFill="1" applyBorder="1" applyAlignment="1" applyProtection="1">
      <alignment wrapText="1"/>
      <protection locked="0" hidden="1"/>
    </xf>
    <xf numFmtId="2" fontId="34" fillId="15" borderId="2" xfId="0" applyNumberFormat="1" applyFont="1" applyFill="1" applyBorder="1" applyAlignment="1" applyProtection="1">
      <alignment horizontal="center"/>
      <protection locked="0" hidden="1"/>
    </xf>
    <xf numFmtId="2" fontId="34" fillId="15" borderId="27" xfId="0" applyNumberFormat="1" applyFont="1" applyFill="1" applyBorder="1" applyAlignment="1" applyProtection="1">
      <alignment horizontal="center"/>
      <protection locked="0" hidden="1"/>
    </xf>
    <xf numFmtId="2" fontId="34" fillId="15" borderId="19" xfId="0" applyNumberFormat="1" applyFont="1" applyFill="1" applyBorder="1" applyAlignment="1" applyProtection="1">
      <alignment horizontal="center"/>
      <protection locked="0" hidden="1"/>
    </xf>
    <xf numFmtId="2" fontId="34" fillId="15" borderId="23" xfId="0" applyNumberFormat="1" applyFont="1" applyFill="1" applyBorder="1" applyAlignment="1" applyProtection="1">
      <alignment horizontal="center"/>
      <protection locked="0" hidden="1"/>
    </xf>
    <xf numFmtId="2" fontId="34" fillId="15" borderId="44" xfId="0" applyNumberFormat="1" applyFont="1" applyFill="1" applyBorder="1" applyAlignment="1" applyProtection="1">
      <alignment horizontal="center"/>
      <protection locked="0" hidden="1"/>
    </xf>
    <xf numFmtId="0" fontId="34" fillId="15" borderId="0" xfId="0" applyFont="1" applyFill="1" applyAlignment="1" applyProtection="1">
      <alignment horizontal="center"/>
      <protection locked="0" hidden="1"/>
    </xf>
    <xf numFmtId="2" fontId="34" fillId="15" borderId="0" xfId="0" applyNumberFormat="1" applyFont="1" applyFill="1" applyProtection="1">
      <protection locked="0" hidden="1"/>
    </xf>
    <xf numFmtId="49" fontId="34" fillId="15" borderId="0" xfId="0" applyNumberFormat="1" applyFont="1" applyFill="1" applyProtection="1">
      <protection locked="0" hidden="1"/>
    </xf>
    <xf numFmtId="0" fontId="35" fillId="15" borderId="1" xfId="0" applyFont="1" applyFill="1" applyBorder="1" applyAlignment="1" applyProtection="1">
      <alignment horizontal="center"/>
      <protection hidden="1"/>
    </xf>
    <xf numFmtId="0" fontId="35" fillId="15" borderId="1" xfId="0" applyFont="1" applyFill="1" applyBorder="1" applyAlignment="1" applyProtection="1">
      <alignment horizontal="center" wrapText="1"/>
      <protection hidden="1"/>
    </xf>
    <xf numFmtId="0" fontId="6" fillId="15" borderId="1" xfId="0" applyFont="1" applyFill="1" applyBorder="1" applyAlignment="1" applyProtection="1">
      <alignment horizontal="center"/>
      <protection hidden="1"/>
    </xf>
    <xf numFmtId="0" fontId="6" fillId="15" borderId="1" xfId="0" applyFont="1" applyFill="1" applyBorder="1" applyAlignment="1" applyProtection="1">
      <alignment wrapText="1"/>
      <protection hidden="1"/>
    </xf>
    <xf numFmtId="0" fontId="6" fillId="15" borderId="0" xfId="0" applyFont="1" applyFill="1" applyProtection="1">
      <protection hidden="1"/>
    </xf>
    <xf numFmtId="0" fontId="6" fillId="15" borderId="0" xfId="0" applyFont="1" applyFill="1" applyAlignment="1" applyProtection="1">
      <alignment horizontal="center"/>
      <protection hidden="1"/>
    </xf>
    <xf numFmtId="0" fontId="1" fillId="15" borderId="0" xfId="0" applyFont="1" applyFill="1" applyAlignment="1">
      <alignment horizontal="centerContinuous" vertical="center"/>
    </xf>
    <xf numFmtId="0" fontId="3" fillId="15" borderId="0" xfId="0" applyFont="1" applyFill="1" applyAlignment="1">
      <alignment vertical="center"/>
    </xf>
    <xf numFmtId="0" fontId="1" fillId="15" borderId="42" xfId="0" applyFont="1" applyFill="1" applyBorder="1" applyAlignment="1">
      <alignment horizontal="center" vertical="center"/>
    </xf>
    <xf numFmtId="0" fontId="4" fillId="15" borderId="0" xfId="0" applyFont="1" applyFill="1" applyBorder="1" applyAlignment="1">
      <alignment horizontal="left" vertical="center"/>
    </xf>
    <xf numFmtId="0" fontId="3" fillId="15" borderId="0" xfId="0" applyFont="1" applyFill="1" applyBorder="1" applyAlignment="1">
      <alignment vertical="center"/>
    </xf>
    <xf numFmtId="0" fontId="1" fillId="15" borderId="0" xfId="0" applyFont="1" applyFill="1" applyAlignment="1">
      <alignment vertical="center"/>
    </xf>
    <xf numFmtId="0" fontId="1" fillId="15" borderId="0" xfId="0" applyNumberFormat="1" applyFont="1" applyFill="1" applyBorder="1" applyAlignment="1">
      <alignment vertical="center" textRotation="180"/>
    </xf>
    <xf numFmtId="0" fontId="1" fillId="15" borderId="1" xfId="0" applyFont="1" applyFill="1" applyBorder="1" applyAlignment="1">
      <alignment horizontal="center" vertical="center"/>
    </xf>
    <xf numFmtId="0" fontId="3" fillId="15" borderId="6" xfId="0" applyFont="1" applyFill="1" applyBorder="1" applyAlignment="1">
      <alignment vertical="center"/>
    </xf>
    <xf numFmtId="0" fontId="3" fillId="15" borderId="8" xfId="0" applyFont="1" applyFill="1" applyBorder="1" applyAlignment="1">
      <alignment vertical="center"/>
    </xf>
    <xf numFmtId="0" fontId="31" fillId="15" borderId="1" xfId="0" applyFont="1" applyFill="1" applyBorder="1" applyAlignment="1">
      <alignment horizontal="center" vertical="center"/>
    </xf>
    <xf numFmtId="0" fontId="4" fillId="15" borderId="1"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9" xfId="0" applyFont="1" applyFill="1" applyBorder="1" applyAlignment="1">
      <alignment vertical="center"/>
    </xf>
    <xf numFmtId="0" fontId="3" fillId="15" borderId="10" xfId="0" applyFont="1" applyFill="1" applyBorder="1" applyAlignment="1">
      <alignment vertical="center"/>
    </xf>
    <xf numFmtId="0" fontId="3" fillId="15" borderId="11" xfId="0" applyFont="1" applyFill="1" applyBorder="1" applyAlignment="1">
      <alignment vertical="center"/>
    </xf>
    <xf numFmtId="0" fontId="3" fillId="15" borderId="13" xfId="0" applyFont="1" applyFill="1" applyBorder="1" applyAlignment="1">
      <alignment vertical="center"/>
    </xf>
    <xf numFmtId="0" fontId="3" fillId="15" borderId="0" xfId="0" applyFont="1" applyFill="1" applyBorder="1" applyAlignment="1">
      <alignment horizontal="center" vertical="center"/>
    </xf>
    <xf numFmtId="0" fontId="1" fillId="15" borderId="28" xfId="0" applyFont="1" applyFill="1" applyBorder="1" applyAlignment="1">
      <alignment horizontal="center" vertical="center"/>
    </xf>
    <xf numFmtId="0" fontId="1" fillId="15" borderId="17" xfId="0" applyFont="1" applyFill="1" applyBorder="1" applyAlignment="1">
      <alignment horizontal="center" vertical="center" wrapText="1"/>
    </xf>
    <xf numFmtId="0" fontId="32" fillId="15" borderId="5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3" fillId="15" borderId="1" xfId="0" applyNumberFormat="1" applyFont="1" applyFill="1" applyBorder="1" applyAlignment="1">
      <alignment horizontal="center" vertical="center"/>
    </xf>
    <xf numFmtId="0" fontId="1" fillId="15" borderId="0" xfId="0" applyFont="1" applyFill="1" applyBorder="1" applyAlignment="1">
      <alignment vertical="center" wrapText="1"/>
    </xf>
    <xf numFmtId="0" fontId="34" fillId="15" borderId="0" xfId="0" applyFont="1" applyFill="1"/>
    <xf numFmtId="0" fontId="37" fillId="15" borderId="1" xfId="2" applyFont="1" applyFill="1" applyBorder="1" applyAlignment="1" applyProtection="1">
      <alignment vertical="center" wrapText="1"/>
      <protection locked="0"/>
    </xf>
    <xf numFmtId="0" fontId="34" fillId="15" borderId="1" xfId="0" applyFont="1" applyFill="1" applyBorder="1" applyAlignment="1">
      <alignment horizontal="center" vertical="center" wrapText="1"/>
    </xf>
    <xf numFmtId="0" fontId="34" fillId="15" borderId="2" xfId="0" applyFont="1" applyFill="1" applyBorder="1"/>
    <xf numFmtId="0" fontId="34" fillId="15" borderId="1" xfId="0" applyFont="1" applyFill="1" applyBorder="1"/>
    <xf numFmtId="0" fontId="34" fillId="15" borderId="1" xfId="0" applyFont="1" applyFill="1" applyBorder="1" applyAlignment="1">
      <alignment horizontal="center"/>
    </xf>
    <xf numFmtId="0" fontId="0" fillId="15" borderId="0" xfId="0" applyFill="1" applyAlignment="1" applyProtection="1">
      <alignment horizontal="center"/>
      <protection hidden="1"/>
    </xf>
    <xf numFmtId="0" fontId="0" fillId="15" borderId="0" xfId="0" applyFill="1" applyProtection="1">
      <protection hidden="1"/>
    </xf>
    <xf numFmtId="0" fontId="0" fillId="15" borderId="0" xfId="0" applyNumberFormat="1" applyFill="1" applyProtection="1">
      <protection hidden="1"/>
    </xf>
    <xf numFmtId="0" fontId="34" fillId="15" borderId="0" xfId="0" applyFont="1" applyFill="1" applyProtection="1">
      <protection hidden="1"/>
    </xf>
    <xf numFmtId="0" fontId="0" fillId="14" borderId="0" xfId="0" applyFont="1" applyFill="1" applyProtection="1"/>
    <xf numFmtId="0" fontId="0" fillId="14" borderId="0" xfId="0" applyFont="1" applyFill="1" applyAlignment="1" applyProtection="1">
      <alignment horizontal="center" vertical="center" wrapText="1"/>
    </xf>
    <xf numFmtId="2" fontId="0" fillId="14" borderId="0" xfId="0" applyNumberFormat="1" applyFont="1" applyFill="1" applyProtection="1"/>
    <xf numFmtId="0" fontId="0" fillId="14" borderId="0" xfId="0" applyFill="1"/>
    <xf numFmtId="0" fontId="0" fillId="15" borderId="0" xfId="0" applyFill="1"/>
    <xf numFmtId="164" fontId="0" fillId="15" borderId="0" xfId="0" applyNumberFormat="1" applyFill="1" applyAlignment="1">
      <alignment horizontal="center"/>
    </xf>
    <xf numFmtId="0" fontId="1" fillId="15" borderId="0" xfId="0" applyFont="1" applyFill="1" applyBorder="1" applyAlignment="1">
      <alignment horizontal="center" vertical="center"/>
    </xf>
    <xf numFmtId="0" fontId="4" fillId="15" borderId="33" xfId="0" applyFont="1" applyFill="1" applyBorder="1" applyAlignment="1">
      <alignment horizontal="center" vertical="center"/>
    </xf>
    <xf numFmtId="0" fontId="34" fillId="15" borderId="45" xfId="0" applyFont="1" applyFill="1" applyBorder="1" applyAlignment="1">
      <alignment vertical="center"/>
    </xf>
    <xf numFmtId="0" fontId="1" fillId="15" borderId="50"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4" fillId="15" borderId="0" xfId="0" applyFont="1" applyFill="1" applyBorder="1" applyAlignment="1">
      <alignment horizontal="center" vertical="center"/>
    </xf>
    <xf numFmtId="0" fontId="4" fillId="15" borderId="5" xfId="0" applyFont="1" applyFill="1" applyBorder="1" applyAlignment="1">
      <alignment horizontal="center" vertical="center"/>
    </xf>
    <xf numFmtId="0" fontId="1" fillId="15" borderId="0" xfId="0" applyFont="1" applyFill="1" applyBorder="1" applyAlignment="1">
      <alignment horizontal="right" vertical="center" textRotation="180"/>
    </xf>
    <xf numFmtId="0" fontId="1" fillId="15" borderId="0" xfId="0" applyFont="1" applyFill="1" applyBorder="1" applyAlignment="1">
      <alignment horizontal="left" vertical="center" textRotation="90"/>
    </xf>
    <xf numFmtId="0" fontId="1" fillId="15" borderId="1" xfId="0" applyFont="1" applyFill="1" applyBorder="1" applyAlignment="1">
      <alignment horizontal="center" vertical="center"/>
    </xf>
    <xf numFmtId="0" fontId="34" fillId="15" borderId="1" xfId="0" applyFont="1" applyFill="1" applyBorder="1" applyAlignment="1">
      <alignment horizontal="center" vertical="center"/>
    </xf>
    <xf numFmtId="0" fontId="2" fillId="15" borderId="0" xfId="0" applyFont="1" applyFill="1" applyAlignment="1">
      <alignment horizontal="center" vertical="center"/>
    </xf>
    <xf numFmtId="0" fontId="34" fillId="15" borderId="0" xfId="0" applyFont="1" applyFill="1" applyAlignment="1">
      <alignment vertical="center"/>
    </xf>
    <xf numFmtId="0" fontId="3" fillId="15" borderId="0" xfId="0" applyFont="1" applyFill="1" applyAlignment="1">
      <alignment horizontal="center" vertical="center"/>
    </xf>
    <xf numFmtId="0" fontId="1" fillId="15" borderId="0" xfId="0" applyFont="1" applyFill="1" applyAlignment="1">
      <alignment horizontal="center" vertical="center"/>
    </xf>
    <xf numFmtId="0" fontId="1" fillId="15" borderId="6" xfId="0" applyFont="1" applyFill="1" applyBorder="1" applyAlignment="1">
      <alignment horizontal="center" vertical="center" wrapText="1"/>
    </xf>
    <xf numFmtId="0" fontId="1" fillId="15" borderId="8"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9" fillId="8" borderId="1" xfId="1"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locked="0" hidden="1"/>
    </xf>
    <xf numFmtId="0" fontId="0" fillId="0" borderId="0" xfId="0" applyFill="1" applyBorder="1" applyAlignment="1" applyProtection="1">
      <alignment horizontal="center" vertical="center" wrapText="1"/>
      <protection hidden="1"/>
    </xf>
    <xf numFmtId="0" fontId="21" fillId="8" borderId="5" xfId="1" applyFont="1" applyFill="1" applyBorder="1" applyAlignment="1" applyProtection="1">
      <alignment horizontal="center" vertical="center" wrapText="1"/>
      <protection hidden="1"/>
    </xf>
    <xf numFmtId="0" fontId="26" fillId="8" borderId="5" xfId="0" applyFont="1" applyFill="1" applyBorder="1" applyAlignment="1" applyProtection="1">
      <alignment horizontal="center" vertical="center" wrapText="1"/>
      <protection hidden="1"/>
    </xf>
    <xf numFmtId="0" fontId="11" fillId="0" borderId="0" xfId="1"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11" fillId="14" borderId="0" xfId="1" applyFont="1" applyFill="1" applyBorder="1" applyAlignment="1" applyProtection="1">
      <alignment horizontal="center" vertical="center" wrapText="1"/>
      <protection hidden="1"/>
    </xf>
    <xf numFmtId="0" fontId="26" fillId="14" borderId="0" xfId="0" applyFont="1" applyFill="1" applyBorder="1" applyAlignment="1">
      <alignment horizontal="center" vertical="center" wrapText="1"/>
    </xf>
    <xf numFmtId="0" fontId="10" fillId="14" borderId="0" xfId="1" applyFont="1" applyFill="1" applyBorder="1" applyAlignment="1" applyProtection="1">
      <alignment horizontal="center" vertical="center" wrapText="1"/>
      <protection locked="0" hidden="1"/>
    </xf>
    <xf numFmtId="0" fontId="0" fillId="14" borderId="0" xfId="0" applyFill="1" applyBorder="1" applyAlignment="1">
      <alignment horizontal="center" vertical="center" wrapText="1"/>
    </xf>
    <xf numFmtId="0" fontId="10" fillId="15" borderId="1" xfId="1" applyFont="1" applyFill="1" applyBorder="1" applyAlignment="1" applyProtection="1">
      <alignment horizontal="center" vertical="center" wrapText="1"/>
      <protection hidden="1"/>
    </xf>
    <xf numFmtId="0" fontId="10" fillId="15" borderId="3" xfId="1" applyFont="1" applyFill="1" applyBorder="1" applyAlignment="1" applyProtection="1">
      <alignment horizontal="center" vertical="center" wrapText="1"/>
      <protection hidden="1"/>
    </xf>
    <xf numFmtId="0" fontId="34" fillId="15" borderId="1" xfId="0" applyFont="1" applyFill="1" applyBorder="1" applyAlignment="1" applyProtection="1">
      <alignment horizontal="center" vertical="center" wrapText="1"/>
      <protection hidden="1"/>
    </xf>
    <xf numFmtId="0" fontId="24" fillId="0" borderId="0" xfId="1" applyFont="1" applyBorder="1" applyAlignment="1" applyProtection="1">
      <alignment horizontal="right" vertical="center" wrapText="1"/>
      <protection locked="0" hidden="1"/>
    </xf>
    <xf numFmtId="0" fontId="12" fillId="0" borderId="0" xfId="1" applyFont="1" applyBorder="1" applyAlignment="1" applyProtection="1">
      <alignment horizontal="center" vertical="center" wrapText="1"/>
      <protection locked="0" hidden="1"/>
    </xf>
    <xf numFmtId="0" fontId="11" fillId="5" borderId="28" xfId="1" applyFont="1" applyFill="1" applyBorder="1" applyAlignment="1" applyProtection="1">
      <alignment horizontal="center" vertical="center" wrapText="1"/>
      <protection locked="0" hidden="1"/>
    </xf>
    <xf numFmtId="0" fontId="11" fillId="5" borderId="24" xfId="1" applyFont="1" applyFill="1" applyBorder="1" applyAlignment="1" applyProtection="1">
      <alignment horizontal="center" vertical="center" wrapText="1"/>
      <protection locked="0" hidden="1"/>
    </xf>
    <xf numFmtId="0" fontId="11" fillId="14" borderId="0" xfId="1" applyFont="1" applyFill="1" applyBorder="1" applyAlignment="1" applyProtection="1">
      <alignment horizontal="center" vertical="center" wrapText="1"/>
      <protection locked="0" hidden="1"/>
    </xf>
    <xf numFmtId="0" fontId="26" fillId="14" borderId="0" xfId="0" applyFont="1" applyFill="1" applyBorder="1" applyAlignment="1" applyProtection="1">
      <alignment horizontal="center" vertical="center" wrapText="1"/>
      <protection hidden="1"/>
    </xf>
    <xf numFmtId="0" fontId="10" fillId="15" borderId="0" xfId="1" applyFont="1" applyFill="1" applyBorder="1" applyAlignment="1" applyProtection="1">
      <alignment horizontal="center" vertical="center" wrapText="1"/>
      <protection hidden="1"/>
    </xf>
    <xf numFmtId="0" fontId="34" fillId="15" borderId="0" xfId="0" applyFont="1" applyFill="1" applyAlignment="1" applyProtection="1">
      <alignment horizontal="center" vertical="center" wrapText="1"/>
      <protection hidden="1"/>
    </xf>
    <xf numFmtId="0" fontId="22" fillId="13" borderId="38" xfId="2" applyFont="1" applyFill="1" applyBorder="1" applyAlignment="1" applyProtection="1">
      <alignment horizontal="center" vertical="center" wrapText="1"/>
      <protection locked="0" hidden="1"/>
    </xf>
    <xf numFmtId="0" fontId="22" fillId="13" borderId="40" xfId="2" applyFont="1" applyFill="1" applyBorder="1" applyAlignment="1" applyProtection="1">
      <alignment horizontal="center" vertical="center" wrapText="1"/>
      <protection locked="0" hidden="1"/>
    </xf>
    <xf numFmtId="0" fontId="22" fillId="2" borderId="38" xfId="2" applyFont="1" applyFill="1" applyBorder="1" applyAlignment="1" applyProtection="1">
      <alignment horizontal="center" vertical="center" wrapText="1"/>
      <protection locked="0" hidden="1"/>
    </xf>
    <xf numFmtId="0" fontId="22" fillId="2" borderId="39" xfId="2" applyFont="1" applyFill="1" applyBorder="1" applyAlignment="1" applyProtection="1">
      <alignment horizontal="center" vertical="center" wrapText="1"/>
      <protection locked="0" hidden="1"/>
    </xf>
    <xf numFmtId="0" fontId="22" fillId="2" borderId="40" xfId="2" applyFont="1" applyFill="1" applyBorder="1" applyAlignment="1" applyProtection="1">
      <alignment horizontal="center" vertical="center" wrapText="1"/>
      <protection locked="0" hidden="1"/>
    </xf>
    <xf numFmtId="0" fontId="22" fillId="11" borderId="55" xfId="2" applyFont="1" applyFill="1" applyBorder="1" applyAlignment="1" applyProtection="1">
      <alignment horizontal="center" vertical="center" wrapText="1"/>
      <protection locked="0" hidden="1"/>
    </xf>
    <xf numFmtId="0" fontId="22" fillId="11" borderId="39" xfId="2" applyFont="1" applyFill="1" applyBorder="1" applyAlignment="1" applyProtection="1">
      <alignment horizontal="center" vertical="center" wrapText="1"/>
      <protection locked="0" hidden="1"/>
    </xf>
    <xf numFmtId="0" fontId="22" fillId="11" borderId="40" xfId="2" applyFont="1" applyFill="1" applyBorder="1" applyAlignment="1" applyProtection="1">
      <alignment horizontal="center" vertical="center" wrapText="1"/>
      <protection locked="0" hidden="1"/>
    </xf>
    <xf numFmtId="0" fontId="34" fillId="15" borderId="17" xfId="0" applyFont="1" applyFill="1" applyBorder="1" applyAlignment="1" applyProtection="1">
      <alignment horizontal="center" vertical="center"/>
      <protection locked="0" hidden="1"/>
    </xf>
    <xf numFmtId="0" fontId="34" fillId="15" borderId="4" xfId="0" applyFont="1" applyFill="1" applyBorder="1" applyAlignment="1" applyProtection="1">
      <alignment horizontal="center" vertical="center"/>
      <protection locked="0" hidden="1"/>
    </xf>
    <xf numFmtId="0" fontId="34" fillId="15" borderId="31" xfId="0" applyFont="1" applyFill="1" applyBorder="1" applyAlignment="1" applyProtection="1">
      <alignment horizontal="center" vertical="center"/>
      <protection locked="0" hidden="1"/>
    </xf>
    <xf numFmtId="0" fontId="34" fillId="15" borderId="28" xfId="0" applyFont="1" applyFill="1" applyBorder="1" applyAlignment="1" applyProtection="1">
      <alignment horizontal="center" vertical="center"/>
      <protection locked="0" hidden="1"/>
    </xf>
    <xf numFmtId="0" fontId="34" fillId="15" borderId="29" xfId="0" applyFont="1" applyFill="1" applyBorder="1" applyAlignment="1" applyProtection="1">
      <alignment horizontal="center" vertical="center"/>
      <protection locked="0" hidden="1"/>
    </xf>
    <xf numFmtId="0" fontId="34" fillId="15" borderId="30" xfId="0" applyFont="1" applyFill="1" applyBorder="1" applyAlignment="1" applyProtection="1">
      <alignment horizontal="center" vertical="center"/>
      <protection locked="0" hidden="1"/>
    </xf>
    <xf numFmtId="2" fontId="34" fillId="15" borderId="17" xfId="0" applyNumberFormat="1" applyFont="1" applyFill="1" applyBorder="1" applyAlignment="1" applyProtection="1">
      <alignment horizontal="center" vertical="center"/>
      <protection locked="0" hidden="1"/>
    </xf>
    <xf numFmtId="2" fontId="34" fillId="15" borderId="4" xfId="0" applyNumberFormat="1" applyFont="1" applyFill="1" applyBorder="1" applyAlignment="1" applyProtection="1">
      <alignment horizontal="center" vertical="center"/>
      <protection locked="0" hidden="1"/>
    </xf>
    <xf numFmtId="2" fontId="34" fillId="15" borderId="31" xfId="0" applyNumberFormat="1" applyFont="1" applyFill="1" applyBorder="1" applyAlignment="1" applyProtection="1">
      <alignment horizontal="center" vertical="center"/>
      <protection locked="0" hidden="1"/>
    </xf>
    <xf numFmtId="0" fontId="34" fillId="15" borderId="32" xfId="0" applyFont="1" applyFill="1" applyBorder="1" applyAlignment="1" applyProtection="1">
      <alignment horizontal="center"/>
      <protection locked="0" hidden="1"/>
    </xf>
    <xf numFmtId="0" fontId="34" fillId="15" borderId="0" xfId="0" applyFont="1" applyFill="1" applyBorder="1" applyAlignment="1" applyProtection="1">
      <alignment horizontal="center"/>
      <protection locked="0" hidden="1"/>
    </xf>
    <xf numFmtId="0" fontId="35" fillId="15" borderId="1" xfId="0" applyFont="1" applyFill="1" applyBorder="1" applyAlignment="1" applyProtection="1">
      <alignment horizontal="center"/>
      <protection locked="0" hidden="1"/>
    </xf>
    <xf numFmtId="0" fontId="35" fillId="15" borderId="5" xfId="0" applyFont="1" applyFill="1" applyBorder="1" applyAlignment="1" applyProtection="1">
      <alignment horizontal="center"/>
      <protection locked="0" hidden="1"/>
    </xf>
    <xf numFmtId="0" fontId="34" fillId="15" borderId="17" xfId="0" applyFont="1" applyFill="1" applyBorder="1" applyAlignment="1" applyProtection="1">
      <alignment horizontal="center" vertical="center"/>
      <protection hidden="1"/>
    </xf>
    <xf numFmtId="0" fontId="34" fillId="15" borderId="4" xfId="0" applyFont="1" applyFill="1" applyBorder="1" applyAlignment="1" applyProtection="1">
      <alignment horizontal="center" vertical="center"/>
      <protection hidden="1"/>
    </xf>
    <xf numFmtId="0" fontId="34" fillId="15" borderId="31" xfId="0" applyFont="1" applyFill="1" applyBorder="1" applyAlignment="1" applyProtection="1">
      <alignment horizontal="center" vertical="center"/>
      <protection hidden="1"/>
    </xf>
    <xf numFmtId="0" fontId="34" fillId="15" borderId="1" xfId="0" applyFont="1" applyFill="1" applyBorder="1" applyAlignment="1" applyProtection="1">
      <alignment horizontal="center"/>
      <protection locked="0" hidden="1"/>
    </xf>
    <xf numFmtId="0" fontId="1" fillId="15" borderId="17" xfId="0" applyFont="1" applyFill="1" applyBorder="1" applyAlignment="1" applyProtection="1">
      <alignment horizontal="center" vertical="center" wrapText="1"/>
      <protection locked="0" hidden="1"/>
    </xf>
    <xf numFmtId="0" fontId="1" fillId="15" borderId="4" xfId="0" applyFont="1" applyFill="1" applyBorder="1" applyAlignment="1" applyProtection="1">
      <alignment horizontal="center" vertical="center" wrapText="1"/>
      <protection locked="0" hidden="1"/>
    </xf>
    <xf numFmtId="0" fontId="2" fillId="15" borderId="0" xfId="0" applyFont="1" applyFill="1" applyAlignment="1" applyProtection="1">
      <alignment horizontal="center" vertical="center"/>
      <protection locked="0" hidden="1"/>
    </xf>
    <xf numFmtId="0" fontId="1" fillId="15" borderId="24" xfId="0" applyFont="1" applyFill="1" applyBorder="1" applyAlignment="1" applyProtection="1">
      <alignment horizontal="center" vertical="center" wrapText="1"/>
      <protection locked="0" hidden="1"/>
    </xf>
    <xf numFmtId="0" fontId="1" fillId="15" borderId="25" xfId="0" applyFont="1" applyFill="1" applyBorder="1" applyAlignment="1" applyProtection="1">
      <alignment horizontal="center" vertical="center" wrapText="1"/>
      <protection locked="0" hidden="1"/>
    </xf>
    <xf numFmtId="0" fontId="1" fillId="15" borderId="15" xfId="0" applyFont="1" applyFill="1" applyBorder="1" applyAlignment="1" applyProtection="1">
      <alignment horizontal="center" vertical="center" wrapText="1"/>
      <protection locked="0" hidden="1"/>
    </xf>
    <xf numFmtId="0" fontId="1" fillId="15" borderId="16" xfId="0" applyFont="1" applyFill="1" applyBorder="1" applyAlignment="1" applyProtection="1">
      <alignment horizontal="center" vertical="center" wrapText="1"/>
      <protection locked="0" hidden="1"/>
    </xf>
    <xf numFmtId="0" fontId="1" fillId="15" borderId="6" xfId="0" applyFont="1" applyFill="1" applyBorder="1" applyAlignment="1" applyProtection="1">
      <alignment horizontal="center" vertical="center" wrapText="1"/>
      <protection locked="0" hidden="1"/>
    </xf>
    <xf numFmtId="0" fontId="1" fillId="15" borderId="7" xfId="0" applyFont="1" applyFill="1" applyBorder="1" applyAlignment="1" applyProtection="1">
      <alignment horizontal="center" vertical="center" wrapText="1"/>
      <protection locked="0" hidden="1"/>
    </xf>
    <xf numFmtId="0" fontId="1" fillId="15" borderId="8" xfId="0" applyFont="1" applyFill="1" applyBorder="1" applyAlignment="1" applyProtection="1">
      <alignment horizontal="center" vertical="center" wrapText="1"/>
      <protection locked="0" hidden="1"/>
    </xf>
    <xf numFmtId="0" fontId="1" fillId="15" borderId="9"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10" xfId="0" applyFont="1" applyFill="1" applyBorder="1" applyAlignment="1" applyProtection="1">
      <alignment horizontal="center" vertical="center" wrapText="1"/>
      <protection locked="0" hidden="1"/>
    </xf>
    <xf numFmtId="0" fontId="1" fillId="15" borderId="11" xfId="0" applyFont="1" applyFill="1" applyBorder="1" applyAlignment="1" applyProtection="1">
      <alignment horizontal="center" vertical="center" wrapText="1"/>
      <protection locked="0" hidden="1"/>
    </xf>
    <xf numFmtId="0" fontId="1" fillId="15" borderId="12" xfId="0" applyFont="1" applyFill="1" applyBorder="1" applyAlignment="1" applyProtection="1">
      <alignment horizontal="center" vertical="center" wrapText="1"/>
      <protection locked="0" hidden="1"/>
    </xf>
    <xf numFmtId="0" fontId="1" fillId="15" borderId="13" xfId="0" applyFont="1" applyFill="1" applyBorder="1" applyAlignment="1" applyProtection="1">
      <alignment horizontal="center" vertical="center" wrapText="1"/>
      <protection locked="0" hidden="1"/>
    </xf>
    <xf numFmtId="2" fontId="34" fillId="15" borderId="18" xfId="0" applyNumberFormat="1" applyFont="1" applyFill="1" applyBorder="1" applyAlignment="1" applyProtection="1">
      <alignment horizontal="center" vertical="center"/>
      <protection locked="0" hidden="1"/>
    </xf>
    <xf numFmtId="2" fontId="34" fillId="15" borderId="1" xfId="0" applyNumberFormat="1" applyFont="1" applyFill="1" applyBorder="1" applyAlignment="1" applyProtection="1">
      <alignment horizontal="center" vertical="center"/>
      <protection locked="0" hidden="1"/>
    </xf>
    <xf numFmtId="2" fontId="34" fillId="15" borderId="21" xfId="0" applyNumberFormat="1" applyFont="1" applyFill="1" applyBorder="1" applyAlignment="1" applyProtection="1">
      <alignment horizontal="center" vertical="center"/>
      <protection locked="0" hidden="1"/>
    </xf>
    <xf numFmtId="0" fontId="34" fillId="15" borderId="0" xfId="0" applyFont="1" applyFill="1" applyAlignment="1" applyProtection="1">
      <alignment horizontal="center"/>
      <protection locked="0" hidden="1"/>
    </xf>
    <xf numFmtId="0" fontId="34" fillId="15" borderId="14" xfId="0" applyFont="1" applyFill="1" applyBorder="1" applyAlignment="1" applyProtection="1">
      <alignment horizontal="center" vertical="center"/>
      <protection locked="0" hidden="1"/>
    </xf>
    <xf numFmtId="0" fontId="34" fillId="15" borderId="22" xfId="0" applyFont="1" applyFill="1" applyBorder="1" applyAlignment="1" applyProtection="1">
      <alignment horizontal="center" vertical="center"/>
      <protection locked="0" hidden="1"/>
    </xf>
    <xf numFmtId="0" fontId="34" fillId="15" borderId="20" xfId="0" applyFont="1" applyFill="1" applyBorder="1" applyAlignment="1" applyProtection="1">
      <alignment horizontal="center" vertical="center"/>
      <protection locked="0" hidden="1"/>
    </xf>
    <xf numFmtId="0" fontId="34" fillId="15" borderId="18" xfId="0" applyFont="1" applyFill="1" applyBorder="1" applyAlignment="1" applyProtection="1">
      <alignment horizontal="center" vertical="center"/>
      <protection locked="0" hidden="1"/>
    </xf>
    <xf numFmtId="0" fontId="34" fillId="15" borderId="1" xfId="0" applyFont="1" applyFill="1" applyBorder="1" applyAlignment="1" applyProtection="1">
      <alignment horizontal="center" vertical="center"/>
      <protection locked="0" hidden="1"/>
    </xf>
    <xf numFmtId="0" fontId="34" fillId="15" borderId="21" xfId="0" applyFont="1" applyFill="1" applyBorder="1" applyAlignment="1" applyProtection="1">
      <alignment horizontal="center" vertical="center"/>
      <protection locked="0" hidden="1"/>
    </xf>
    <xf numFmtId="0" fontId="36" fillId="15" borderId="5" xfId="0" applyFont="1" applyFill="1" applyBorder="1" applyAlignment="1" applyProtection="1">
      <alignment horizontal="center"/>
      <protection hidden="1"/>
    </xf>
    <xf numFmtId="0" fontId="6" fillId="15" borderId="2" xfId="0" applyFont="1" applyFill="1" applyBorder="1" applyAlignment="1" applyProtection="1">
      <alignment horizontal="center" vertical="center"/>
      <protection hidden="1"/>
    </xf>
    <xf numFmtId="0" fontId="6" fillId="15" borderId="4" xfId="0" applyFont="1" applyFill="1" applyBorder="1" applyAlignment="1" applyProtection="1">
      <alignment horizontal="center" vertical="center"/>
      <protection hidden="1"/>
    </xf>
    <xf numFmtId="0" fontId="6" fillId="15" borderId="3" xfId="0" applyFont="1" applyFill="1" applyBorder="1" applyAlignment="1" applyProtection="1">
      <alignment horizontal="center" vertical="center"/>
      <protection hidden="1"/>
    </xf>
  </cellXfs>
  <cellStyles count="5">
    <cellStyle name="Акцент6 2" xfId="4"/>
    <cellStyle name="Обычный" xfId="0" builtinId="0"/>
    <cellStyle name="Обычный 2" xfId="1"/>
    <cellStyle name="Обычный 2 2" xfId="2"/>
    <cellStyle name="Обычный 3" xfId="3"/>
  </cellStyles>
  <dxfs count="2">
    <dxf>
      <font>
        <color rgb="FF9C0006"/>
      </font>
    </dxf>
    <dxf>
      <font>
        <color theme="8" tint="0.79998168889431442"/>
      </font>
    </dxf>
  </dxfs>
  <tableStyles count="0" defaultTableStyle="TableStyleMedium2" defaultPivotStyle="PivotStyleMedium9"/>
  <colors>
    <mruColors>
      <color rgb="FF99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628650</xdr:colOff>
      <xdr:row>0</xdr:row>
      <xdr:rowOff>0</xdr:rowOff>
    </xdr:from>
    <xdr:to>
      <xdr:col>11</xdr:col>
      <xdr:colOff>1257300</xdr:colOff>
      <xdr:row>1</xdr:row>
      <xdr:rowOff>1344706</xdr:rowOff>
    </xdr:to>
    <xdr:sp macro="" textlink="">
      <xdr:nvSpPr>
        <xdr:cNvPr id="5" name="Text Box 25"/>
        <xdr:cNvSpPr txBox="1">
          <a:spLocks noChangeArrowheads="1"/>
        </xdr:cNvSpPr>
      </xdr:nvSpPr>
      <xdr:spPr bwMode="auto">
        <a:xfrm>
          <a:off x="8136591" y="0"/>
          <a:ext cx="3878356" cy="180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ru-RU" sz="1100" b="1" i="0" u="none" strike="noStrike" baseline="0">
              <a:solidFill>
                <a:srgbClr val="000000"/>
              </a:solidFill>
              <a:latin typeface="Verdana"/>
              <a:ea typeface="Verdana"/>
              <a:cs typeface="Verdana"/>
            </a:rPr>
            <a:t>04080, Киев, ул. Фрунзе, 102</a:t>
          </a:r>
        </a:p>
        <a:p>
          <a:pPr algn="l" rtl="0">
            <a:defRPr sz="1000"/>
          </a:pPr>
          <a:r>
            <a:rPr lang="ru-RU" sz="1100" b="0" i="0" u="none" strike="noStrike" baseline="0">
              <a:solidFill>
                <a:srgbClr val="000000"/>
              </a:solidFill>
              <a:latin typeface="Verdana"/>
              <a:ea typeface="Verdana"/>
              <a:cs typeface="Verdana"/>
            </a:rPr>
            <a:t>тел./факс: (044) 492-30-00;</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02139, Киев, ул. Стальского, 30</a:t>
          </a:r>
        </a:p>
        <a:p>
          <a:pPr algn="l" rtl="0">
            <a:defRPr sz="1000"/>
          </a:pPr>
          <a:r>
            <a:rPr lang="ru-RU" sz="1100" b="0" i="0" u="none" strike="noStrike" baseline="0">
              <a:solidFill>
                <a:srgbClr val="000000"/>
              </a:solidFill>
              <a:latin typeface="Verdana"/>
              <a:ea typeface="Verdana"/>
              <a:cs typeface="Verdana"/>
            </a:rPr>
            <a:t>тел./факс: (044) 540-30-06</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03680, Киев, пр.Леся Курбаса, 2Г</a:t>
          </a:r>
        </a:p>
        <a:p>
          <a:pPr algn="l" rtl="0">
            <a:defRPr sz="1000"/>
          </a:pPr>
          <a:r>
            <a:rPr lang="ru-RU" sz="1100" b="0" i="0" u="none" strike="noStrike" baseline="0">
              <a:solidFill>
                <a:srgbClr val="000000"/>
              </a:solidFill>
              <a:latin typeface="Verdana"/>
              <a:ea typeface="Verdana"/>
              <a:cs typeface="Verdana"/>
            </a:rPr>
            <a:t>тел/факс: (044) 369-31-88</a:t>
          </a:r>
          <a:endParaRPr lang="ru-RU" sz="1100" b="1" i="0" u="none" strike="noStrike" baseline="0">
            <a:solidFill>
              <a:srgbClr val="000000"/>
            </a:solidFill>
            <a:latin typeface="Verdana"/>
            <a:ea typeface="Verdana"/>
            <a:cs typeface="Verdana"/>
          </a:endParaRPr>
        </a:p>
        <a:p>
          <a:pPr algn="l" rtl="0">
            <a:defRPr sz="1000"/>
          </a:pPr>
          <a:endParaRPr lang="ru-RU" sz="1100" b="1" i="0" u="none" strike="noStrike" baseline="0">
            <a:solidFill>
              <a:srgbClr val="000000"/>
            </a:solidFill>
            <a:latin typeface="Verdana"/>
            <a:ea typeface="Verdana"/>
            <a:cs typeface="Verdana"/>
          </a:endParaRPr>
        </a:p>
        <a:p>
          <a:pPr algn="l" rtl="0">
            <a:defRPr sz="1000"/>
          </a:pPr>
          <a:r>
            <a:rPr lang="en-US" sz="1100" b="1" i="0" u="none" strike="noStrike" baseline="0">
              <a:solidFill>
                <a:srgbClr val="3366FF"/>
              </a:solidFill>
              <a:latin typeface="Verdana"/>
              <a:ea typeface="Verdana"/>
              <a:cs typeface="Verdana"/>
            </a:rPr>
            <a:t>info@mt.ua</a:t>
          </a:r>
          <a:r>
            <a:rPr lang="en-US" sz="1100" b="1" i="0" u="none" strike="noStrike" baseline="0">
              <a:solidFill>
                <a:srgbClr val="000000"/>
              </a:solidFill>
              <a:latin typeface="Verdana"/>
              <a:ea typeface="Verdana"/>
              <a:cs typeface="Verdana"/>
            </a:rPr>
            <a:t>         </a:t>
          </a:r>
          <a:r>
            <a:rPr lang="en-US" sz="1100" b="1" i="0" u="none" strike="noStrike" baseline="0">
              <a:solidFill>
                <a:srgbClr val="FF0000"/>
              </a:solidFill>
              <a:latin typeface="Verdana"/>
              <a:ea typeface="Verdana"/>
              <a:cs typeface="Verdana"/>
            </a:rPr>
            <a:t>www.mt.ua</a:t>
          </a:r>
          <a:r>
            <a:rPr lang="en-US" sz="1100" b="1" i="0" u="none" strike="noStrike" baseline="0">
              <a:solidFill>
                <a:srgbClr val="000000"/>
              </a:solidFill>
              <a:latin typeface="Verdana"/>
              <a:ea typeface="Verdana"/>
              <a:cs typeface="Verdana"/>
            </a:rPr>
            <a:t>      </a:t>
          </a:r>
          <a:r>
            <a:rPr lang="en-US" sz="1000" b="1" i="0" u="none" strike="noStrike" baseline="0">
              <a:solidFill>
                <a:srgbClr val="000000"/>
              </a:solidFill>
              <a:latin typeface="Verdana"/>
              <a:ea typeface="Verdana"/>
              <a:cs typeface="Verdana"/>
            </a:rPr>
            <a:t> </a:t>
          </a:r>
        </a:p>
      </xdr:txBody>
    </xdr:sp>
    <xdr:clientData/>
  </xdr:twoCellAnchor>
  <xdr:twoCellAnchor>
    <xdr:from>
      <xdr:col>2</xdr:col>
      <xdr:colOff>0</xdr:colOff>
      <xdr:row>0</xdr:row>
      <xdr:rowOff>179293</xdr:rowOff>
    </xdr:from>
    <xdr:to>
      <xdr:col>3</xdr:col>
      <xdr:colOff>67235</xdr:colOff>
      <xdr:row>1</xdr:row>
      <xdr:rowOff>1288676</xdr:rowOff>
    </xdr:to>
    <xdr:pic>
      <xdr:nvPicPr>
        <xdr:cNvPr id="6" name="Picture 6599"/>
        <xdr:cNvPicPr>
          <a:picLocks noChangeAspect="1" noChangeArrowheads="1"/>
        </xdr:cNvPicPr>
      </xdr:nvPicPr>
      <xdr:blipFill>
        <a:blip xmlns:r="http://schemas.openxmlformats.org/officeDocument/2006/relationships" r:embed="rId1" cstate="print"/>
        <a:srcRect/>
        <a:stretch>
          <a:fillRect/>
        </a:stretch>
      </xdr:blipFill>
      <xdr:spPr bwMode="auto">
        <a:xfrm>
          <a:off x="437029" y="179293"/>
          <a:ext cx="1568824" cy="1568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topLeftCell="R1" workbookViewId="0">
      <selection sqref="A1:Q1048576"/>
    </sheetView>
  </sheetViews>
  <sheetFormatPr defaultRowHeight="15" x14ac:dyDescent="0.25"/>
  <cols>
    <col min="1" max="1" width="6.7109375" style="65" hidden="1" customWidth="1"/>
    <col min="2" max="2" width="9.42578125" style="65" hidden="1" customWidth="1"/>
    <col min="3" max="3" width="15.5703125" style="65" hidden="1" customWidth="1"/>
    <col min="4" max="4" width="13.28515625" style="65" hidden="1" customWidth="1"/>
    <col min="5" max="5" width="8.140625" style="65" hidden="1" customWidth="1"/>
    <col min="6" max="6" width="9.42578125" style="65" hidden="1" customWidth="1"/>
    <col min="7" max="7" width="6.7109375" style="65" hidden="1" customWidth="1"/>
    <col min="8" max="11" width="8" style="65" hidden="1" customWidth="1"/>
    <col min="12" max="12" width="24.140625" style="65" hidden="1" customWidth="1"/>
    <col min="13" max="14" width="16.42578125" style="14" hidden="1" customWidth="1"/>
    <col min="15" max="16" width="9.140625" style="14" hidden="1" customWidth="1"/>
    <col min="17" max="17" width="0" hidden="1" customWidth="1"/>
  </cols>
  <sheetData>
    <row r="1" spans="1:17" x14ac:dyDescent="0.25">
      <c r="A1" s="223"/>
      <c r="B1" s="275" t="s">
        <v>132</v>
      </c>
      <c r="C1" s="276"/>
      <c r="D1" s="276"/>
      <c r="E1" s="276"/>
      <c r="F1" s="276"/>
      <c r="G1" s="276"/>
      <c r="H1" s="276"/>
      <c r="I1" s="276"/>
      <c r="J1" s="276"/>
      <c r="K1" s="276"/>
      <c r="L1" s="224"/>
      <c r="M1" s="247"/>
      <c r="N1" s="247"/>
      <c r="O1" s="247"/>
      <c r="P1" s="247"/>
      <c r="Q1" s="247"/>
    </row>
    <row r="2" spans="1:17" ht="15.75" thickBot="1" x14ac:dyDescent="0.3">
      <c r="A2" s="223"/>
      <c r="B2" s="276"/>
      <c r="C2" s="276"/>
      <c r="D2" s="276"/>
      <c r="E2" s="276"/>
      <c r="F2" s="276"/>
      <c r="G2" s="276"/>
      <c r="H2" s="276"/>
      <c r="I2" s="276"/>
      <c r="J2" s="276"/>
      <c r="K2" s="276"/>
      <c r="L2" s="224"/>
      <c r="M2" s="247"/>
      <c r="N2" s="247"/>
      <c r="O2" s="247"/>
      <c r="P2" s="247"/>
      <c r="Q2" s="247"/>
    </row>
    <row r="3" spans="1:17" ht="15.75" thickBot="1" x14ac:dyDescent="0.3">
      <c r="A3" s="224" t="s">
        <v>85</v>
      </c>
      <c r="B3" s="224"/>
      <c r="C3" s="225">
        <f>'Фасады Клеаф'!C6</f>
        <v>0</v>
      </c>
      <c r="D3" s="277"/>
      <c r="E3" s="277"/>
      <c r="F3" s="277"/>
      <c r="G3" s="277"/>
      <c r="H3" s="224"/>
      <c r="I3" s="224"/>
      <c r="J3" s="224"/>
      <c r="K3" s="224"/>
      <c r="L3" s="224"/>
      <c r="M3" s="247"/>
      <c r="N3" s="247"/>
      <c r="O3" s="247"/>
      <c r="P3" s="247"/>
      <c r="Q3" s="247"/>
    </row>
    <row r="4" spans="1:17" ht="15.75" thickBot="1" x14ac:dyDescent="0.3">
      <c r="A4" s="226"/>
      <c r="B4" s="226"/>
      <c r="C4" s="224"/>
      <c r="D4" s="278" t="s">
        <v>66</v>
      </c>
      <c r="E4" s="278"/>
      <c r="F4" s="278"/>
      <c r="G4" s="278"/>
      <c r="H4" s="224"/>
      <c r="I4" s="224"/>
      <c r="J4" s="224"/>
      <c r="K4" s="224"/>
      <c r="L4" s="224"/>
      <c r="M4" s="247"/>
      <c r="N4" s="247"/>
      <c r="O4" s="247"/>
      <c r="P4" s="247"/>
      <c r="Q4" s="247"/>
    </row>
    <row r="5" spans="1:17" x14ac:dyDescent="0.25">
      <c r="A5" s="226" t="s">
        <v>28</v>
      </c>
      <c r="B5" s="226"/>
      <c r="C5" s="224"/>
      <c r="D5" s="278"/>
      <c r="E5" s="278"/>
      <c r="F5" s="278"/>
      <c r="G5" s="224"/>
      <c r="H5" s="224"/>
      <c r="I5" s="224"/>
      <c r="J5" s="279" t="s">
        <v>29</v>
      </c>
      <c r="K5" s="267"/>
      <c r="L5" s="280"/>
      <c r="M5" s="247"/>
      <c r="N5" s="247"/>
      <c r="O5" s="247"/>
      <c r="P5" s="247"/>
      <c r="Q5" s="247"/>
    </row>
    <row r="6" spans="1:17" x14ac:dyDescent="0.25">
      <c r="A6" s="226" t="s">
        <v>133</v>
      </c>
      <c r="B6" s="226"/>
      <c r="C6" s="224"/>
      <c r="D6" s="263"/>
      <c r="E6" s="263"/>
      <c r="F6" s="263"/>
      <c r="G6" s="227"/>
      <c r="H6" s="227"/>
      <c r="I6" s="227"/>
      <c r="J6" s="281"/>
      <c r="K6" s="282"/>
      <c r="L6" s="283"/>
      <c r="M6" s="247"/>
      <c r="N6" s="247"/>
      <c r="O6" s="247"/>
      <c r="P6" s="247"/>
      <c r="Q6" s="247"/>
    </row>
    <row r="7" spans="1:17" ht="15.75" thickBot="1" x14ac:dyDescent="0.3">
      <c r="A7" s="226"/>
      <c r="B7" s="226"/>
      <c r="C7" s="224"/>
      <c r="D7" s="228"/>
      <c r="E7" s="224"/>
      <c r="F7" s="224" t="s">
        <v>134</v>
      </c>
      <c r="G7" s="224"/>
      <c r="H7" s="224"/>
      <c r="I7" s="224"/>
      <c r="J7" s="284"/>
      <c r="K7" s="285"/>
      <c r="L7" s="286"/>
      <c r="M7" s="247"/>
      <c r="N7" s="247"/>
      <c r="O7" s="247"/>
      <c r="P7" s="247"/>
      <c r="Q7" s="247"/>
    </row>
    <row r="8" spans="1:17" x14ac:dyDescent="0.25">
      <c r="A8" s="226"/>
      <c r="B8" s="226"/>
      <c r="C8" s="224"/>
      <c r="D8" s="228"/>
      <c r="E8" s="229"/>
      <c r="F8" s="229"/>
      <c r="G8" s="229"/>
      <c r="H8" s="227"/>
      <c r="I8" s="269"/>
      <c r="J8" s="269"/>
      <c r="K8" s="269"/>
      <c r="L8" s="269"/>
      <c r="M8" s="247"/>
      <c r="N8" s="247"/>
      <c r="O8" s="247"/>
      <c r="P8" s="247"/>
      <c r="Q8" s="247"/>
    </row>
    <row r="9" spans="1:17" ht="15.75" thickBot="1" x14ac:dyDescent="0.3">
      <c r="A9" s="270" t="s">
        <v>135</v>
      </c>
      <c r="B9" s="270"/>
      <c r="C9" s="270"/>
      <c r="D9" s="270"/>
      <c r="E9" s="271" t="s">
        <v>255</v>
      </c>
      <c r="F9" s="263" t="s">
        <v>256</v>
      </c>
      <c r="G9" s="263"/>
      <c r="H9" s="272" t="s">
        <v>257</v>
      </c>
      <c r="I9" s="270" t="s">
        <v>136</v>
      </c>
      <c r="J9" s="270"/>
      <c r="K9" s="270"/>
      <c r="L9" s="270"/>
      <c r="M9" s="247"/>
      <c r="N9" s="247"/>
      <c r="O9" s="247"/>
      <c r="P9" s="247"/>
      <c r="Q9" s="247"/>
    </row>
    <row r="10" spans="1:17" x14ac:dyDescent="0.25">
      <c r="A10" s="230" t="s">
        <v>137</v>
      </c>
      <c r="B10" s="230" t="s">
        <v>52</v>
      </c>
      <c r="C10" s="273" t="s">
        <v>138</v>
      </c>
      <c r="D10" s="274"/>
      <c r="E10" s="271"/>
      <c r="F10" s="231"/>
      <c r="G10" s="232"/>
      <c r="H10" s="272"/>
      <c r="I10" s="230" t="s">
        <v>137</v>
      </c>
      <c r="J10" s="230"/>
      <c r="K10" s="230" t="s">
        <v>139</v>
      </c>
      <c r="L10" s="230" t="s">
        <v>138</v>
      </c>
      <c r="M10" s="247"/>
      <c r="N10" s="247"/>
      <c r="O10" s="247"/>
      <c r="P10" s="247"/>
      <c r="Q10" s="247"/>
    </row>
    <row r="11" spans="1:17" x14ac:dyDescent="0.25">
      <c r="A11" s="233">
        <v>1</v>
      </c>
      <c r="B11" s="234">
        <v>18</v>
      </c>
      <c r="C11" s="235" t="str">
        <f>CONCATENATE(D11,B11)</f>
        <v>018</v>
      </c>
      <c r="D11" s="248">
        <f>N18</f>
        <v>0</v>
      </c>
      <c r="E11" s="271"/>
      <c r="F11" s="236"/>
      <c r="G11" s="237"/>
      <c r="H11" s="272"/>
      <c r="I11" s="233">
        <v>1</v>
      </c>
      <c r="J11" s="264" t="s">
        <v>140</v>
      </c>
      <c r="K11" s="265"/>
      <c r="L11" s="235">
        <f>N18</f>
        <v>0</v>
      </c>
      <c r="M11" s="247"/>
      <c r="N11" s="247"/>
      <c r="O11" s="247"/>
      <c r="P11" s="247"/>
      <c r="Q11" s="247"/>
    </row>
    <row r="12" spans="1:17" x14ac:dyDescent="0.25">
      <c r="A12" s="233">
        <v>2</v>
      </c>
      <c r="B12" s="234">
        <v>8</v>
      </c>
      <c r="C12" s="235" t="str">
        <f>CONCATENATE(D12,B12)</f>
        <v>08</v>
      </c>
      <c r="D12" s="248">
        <f>N18</f>
        <v>0</v>
      </c>
      <c r="E12" s="271"/>
      <c r="F12" s="236"/>
      <c r="G12" s="237"/>
      <c r="H12" s="272"/>
      <c r="I12" s="233">
        <v>2</v>
      </c>
      <c r="J12" s="264"/>
      <c r="K12" s="265"/>
      <c r="L12" s="235"/>
      <c r="M12" s="247"/>
      <c r="N12" s="247"/>
      <c r="O12" s="247"/>
      <c r="P12" s="247"/>
      <c r="Q12" s="247"/>
    </row>
    <row r="13" spans="1:17" ht="15.75" thickBot="1" x14ac:dyDescent="0.3">
      <c r="A13" s="233">
        <v>3</v>
      </c>
      <c r="B13" s="234"/>
      <c r="C13" s="235" t="str">
        <f t="shared" ref="C13:C14" si="0">CONCATENATE(D13,B13)</f>
        <v/>
      </c>
      <c r="D13" s="248"/>
      <c r="E13" s="271"/>
      <c r="F13" s="238"/>
      <c r="G13" s="239"/>
      <c r="H13" s="272"/>
      <c r="I13" s="233">
        <v>3</v>
      </c>
      <c r="J13" s="264"/>
      <c r="K13" s="265"/>
      <c r="L13" s="235"/>
      <c r="M13" s="247"/>
      <c r="N13" s="247"/>
      <c r="O13" s="247"/>
      <c r="P13" s="247"/>
      <c r="Q13" s="247"/>
    </row>
    <row r="14" spans="1:17" x14ac:dyDescent="0.25">
      <c r="A14" s="233">
        <v>4</v>
      </c>
      <c r="B14" s="234"/>
      <c r="C14" s="235" t="str">
        <f t="shared" si="0"/>
        <v/>
      </c>
      <c r="D14" s="248"/>
      <c r="E14" s="271"/>
      <c r="F14" s="263" t="s">
        <v>258</v>
      </c>
      <c r="G14" s="263"/>
      <c r="H14" s="272"/>
      <c r="I14" s="233">
        <v>4</v>
      </c>
      <c r="J14" s="264"/>
      <c r="K14" s="265"/>
      <c r="L14" s="235"/>
      <c r="M14" s="247"/>
      <c r="N14" s="247"/>
      <c r="O14" s="247"/>
      <c r="P14" s="247"/>
      <c r="Q14" s="247"/>
    </row>
    <row r="15" spans="1:17" ht="15.75" thickBot="1" x14ac:dyDescent="0.3">
      <c r="A15" s="224"/>
      <c r="B15" s="224"/>
      <c r="C15" s="224"/>
      <c r="D15" s="224"/>
      <c r="E15" s="224"/>
      <c r="F15" s="240"/>
      <c r="G15" s="240"/>
      <c r="H15" s="224"/>
      <c r="I15" s="224"/>
      <c r="J15" s="224"/>
      <c r="K15" s="224"/>
      <c r="L15" s="240"/>
      <c r="M15" s="247"/>
      <c r="N15" s="247"/>
      <c r="O15" s="247"/>
      <c r="P15" s="247"/>
      <c r="Q15" s="247"/>
    </row>
    <row r="16" spans="1:17" ht="51" x14ac:dyDescent="0.25">
      <c r="A16" s="241" t="s">
        <v>5</v>
      </c>
      <c r="B16" s="242" t="s">
        <v>141</v>
      </c>
      <c r="C16" s="266" t="s">
        <v>142</v>
      </c>
      <c r="D16" s="267"/>
      <c r="E16" s="242" t="s">
        <v>30</v>
      </c>
      <c r="F16" s="242" t="s">
        <v>143</v>
      </c>
      <c r="G16" s="242" t="s">
        <v>144</v>
      </c>
      <c r="H16" s="268" t="s">
        <v>145</v>
      </c>
      <c r="I16" s="268"/>
      <c r="J16" s="268"/>
      <c r="K16" s="268"/>
      <c r="L16" s="243" t="s">
        <v>146</v>
      </c>
      <c r="M16" s="249" t="s">
        <v>147</v>
      </c>
      <c r="N16" s="249" t="s">
        <v>148</v>
      </c>
      <c r="O16" s="249" t="s">
        <v>149</v>
      </c>
      <c r="P16" s="249" t="s">
        <v>150</v>
      </c>
      <c r="Q16" s="247"/>
    </row>
    <row r="17" spans="1:17" x14ac:dyDescent="0.25">
      <c r="A17" s="230"/>
      <c r="B17" s="244"/>
      <c r="C17" s="230" t="s">
        <v>32</v>
      </c>
      <c r="D17" s="230" t="s">
        <v>33</v>
      </c>
      <c r="E17" s="244"/>
      <c r="F17" s="230" t="s">
        <v>151</v>
      </c>
      <c r="G17" s="230"/>
      <c r="H17" s="230" t="s">
        <v>152</v>
      </c>
      <c r="I17" s="230" t="s">
        <v>153</v>
      </c>
      <c r="J17" s="230" t="s">
        <v>154</v>
      </c>
      <c r="K17" s="230" t="s">
        <v>155</v>
      </c>
      <c r="L17" s="230" t="s">
        <v>50</v>
      </c>
      <c r="M17" s="250"/>
      <c r="N17" s="250"/>
      <c r="O17" s="251"/>
      <c r="P17" s="251"/>
      <c r="Q17" s="247"/>
    </row>
    <row r="18" spans="1:17" x14ac:dyDescent="0.25">
      <c r="A18" s="245" t="str">
        <f>VLOOKUP($Q18,kopir!$A$1:$M$93,13,0)</f>
        <v>1.1</v>
      </c>
      <c r="B18" s="235">
        <f>P18</f>
        <v>1</v>
      </c>
      <c r="C18" s="235">
        <f>VLOOKUP($Q18,kopir!$A$1:$L$90,2,FALSE)</f>
        <v>0</v>
      </c>
      <c r="D18" s="235">
        <f>VLOOKUP($Q18,kopir!$A$1:$L$90,3,FALSE)</f>
        <v>164</v>
      </c>
      <c r="E18" s="235">
        <f>VLOOKUP($Q18,kopir!$A$1:$L$90,4,FALSE)</f>
        <v>0</v>
      </c>
      <c r="F18" s="235"/>
      <c r="G18" s="235">
        <f>IF(VLOOKUP($Q18,kopir!$A$1:$L$90,6,FALSE)&gt;0,VLOOKUP($Q18,kopir!$A$1:$L$90,6,FALSE),0)</f>
        <v>18</v>
      </c>
      <c r="H18" s="235">
        <f>IF(VLOOKUP($Q18,kopir!$A$1:$L$90,8,FALSE)=N18,O18,0)</f>
        <v>1</v>
      </c>
      <c r="I18" s="235">
        <f>IF(VLOOKUP($Q18,kopir!$A$1:$L$90,9,FALSE)=N18,O18,0)</f>
        <v>1</v>
      </c>
      <c r="J18" s="235">
        <f>IF(VLOOKUP($Q18,kopir!$A$1:$L$90,10,FALSE)=N18,O18,0)</f>
        <v>1</v>
      </c>
      <c r="K18" s="235">
        <f>IF(VLOOKUP($Q18,kopir!$A$1:$L$90,11,FALSE)=N18,O18,0)</f>
        <v>1</v>
      </c>
      <c r="L18" s="235">
        <f>VLOOKUP($Q18,kopir!$A$1:$L$90,12,FALSE)</f>
        <v>0</v>
      </c>
      <c r="M18" s="235" t="str">
        <f>IF(G18=0,0,CONCATENATE(VLOOKUP($Q18,kopir!$A$1:$M$93,7,FALSE),G18))</f>
        <v>018</v>
      </c>
      <c r="N18" s="235">
        <f>VLOOKUP($Q18,kopir!$A$1:$M$91,7,FALSE)</f>
        <v>0</v>
      </c>
      <c r="O18" s="252">
        <f>IF($N18=$L$11,$I$11,IF($N18=$L$12,$I$12,IF($N18=$L$13,$I$13,IF($N18=$L$14,$I$14,0))))</f>
        <v>1</v>
      </c>
      <c r="P18" s="252">
        <f>IF(M18=$C$11,$A$11,IF(M18=$C$12,$A$12,IF(M18=$C$13,$A$13,IF(M18=$C$14,$A$14,0))))</f>
        <v>1</v>
      </c>
      <c r="Q18" s="235">
        <v>1</v>
      </c>
    </row>
    <row r="19" spans="1:17" x14ac:dyDescent="0.25">
      <c r="A19" s="245" t="str">
        <f>VLOOKUP($Q19,kopir!$A$1:$M$93,13,0)</f>
        <v>1.2</v>
      </c>
      <c r="B19" s="235">
        <f t="shared" ref="B19:B82" si="1">P19</f>
        <v>1</v>
      </c>
      <c r="C19" s="235">
        <f>VLOOKUP($Q19,kopir!$A$1:$L$90,2,FALSE)</f>
        <v>0</v>
      </c>
      <c r="D19" s="235">
        <f>VLOOKUP($Q19,kopir!$A$1:$L$90,3,FALSE)</f>
        <v>0</v>
      </c>
      <c r="E19" s="235">
        <f>VLOOKUP($Q19,kopir!$A$1:$L$90,4,FALSE)</f>
        <v>0</v>
      </c>
      <c r="F19" s="235"/>
      <c r="G19" s="235">
        <f>IF(VLOOKUP($Q19,kopir!$A$1:$L$90,6,FALSE)&gt;0,VLOOKUP($Q19,kopir!$A$1:$L$90,6,FALSE),0)</f>
        <v>18</v>
      </c>
      <c r="H19" s="235">
        <f>IF(VLOOKUP($Q19,kopir!$A$1:$L$90,8,FALSE)=N19,O19,0)</f>
        <v>1</v>
      </c>
      <c r="I19" s="235">
        <f>IF(VLOOKUP($Q19,kopir!$A$1:$L$90,9,FALSE)=N19,O19,0)</f>
        <v>1</v>
      </c>
      <c r="J19" s="235">
        <f>IF(VLOOKUP($Q19,kopir!$A$1:$L$90,10,FALSE)=N19,O19,0)</f>
        <v>1</v>
      </c>
      <c r="K19" s="235">
        <f>IF(VLOOKUP($Q19,kopir!$A$1:$L$90,11,FALSE)=N19,O19,0)</f>
        <v>1</v>
      </c>
      <c r="L19" s="235">
        <f>VLOOKUP($Q19,kopir!$A$1:$L$90,12,FALSE)</f>
        <v>0</v>
      </c>
      <c r="M19" s="235" t="str">
        <f>IF(G19=0,0,CONCATENATE(VLOOKUP($Q19,kopir!$A$1:$M$93,7,FALSE),G19))</f>
        <v>018</v>
      </c>
      <c r="N19" s="235">
        <f>VLOOKUP($Q19,kopir!$A$1:$M$91,7,FALSE)</f>
        <v>0</v>
      </c>
      <c r="O19" s="252">
        <f t="shared" ref="O19:O82" si="2">IF($N19=$L$11,$I$11,IF($N19=$L$12,$I$12,IF($N19=$L$13,$I$13,IF($N19=$L$14,$I$14,0))))</f>
        <v>1</v>
      </c>
      <c r="P19" s="252">
        <f t="shared" ref="P19:P82" si="3">IF(M19=$C$11,$A$11,IF(M19=$C$12,$A$12,IF(M19=$C$13,$A$13,IF(M19=$C$14,$A$14,0))))</f>
        <v>1</v>
      </c>
      <c r="Q19" s="235">
        <v>2</v>
      </c>
    </row>
    <row r="20" spans="1:17" x14ac:dyDescent="0.25">
      <c r="A20" s="245" t="str">
        <f>VLOOKUP($Q20,kopir!$A$1:$M$93,13,0)</f>
        <v>1.3</v>
      </c>
      <c r="B20" s="235">
        <f t="shared" si="1"/>
        <v>0</v>
      </c>
      <c r="C20" s="235">
        <f>VLOOKUP($Q20,kopir!$A$1:$L$90,2,FALSE)</f>
        <v>0</v>
      </c>
      <c r="D20" s="235">
        <f>VLOOKUP($Q20,kopir!$A$1:$L$90,3,FALSE)</f>
        <v>0</v>
      </c>
      <c r="E20" s="235">
        <f>VLOOKUP($Q20,kopir!$A$1:$L$90,4,FALSE)</f>
        <v>0</v>
      </c>
      <c r="F20" s="235"/>
      <c r="G20" s="235">
        <f>IF(VLOOKUP($Q20,kopir!$A$1:$L$90,6,FALSE)&gt;0,VLOOKUP($Q20,kopir!$A$1:$L$90,6,FALSE),0)</f>
        <v>0</v>
      </c>
      <c r="H20" s="235">
        <f>IF(VLOOKUP($Q20,kopir!$A$1:$L$90,8,FALSE)=N20,O20,0)</f>
        <v>1</v>
      </c>
      <c r="I20" s="235">
        <f>IF(VLOOKUP($Q20,kopir!$A$1:$L$90,9,FALSE)=N20,O20,0)</f>
        <v>1</v>
      </c>
      <c r="J20" s="235">
        <f>IF(VLOOKUP($Q20,kopir!$A$1:$L$90,10,FALSE)=N20,O20,0)</f>
        <v>1</v>
      </c>
      <c r="K20" s="235">
        <f>IF(VLOOKUP($Q20,kopir!$A$1:$L$90,11,FALSE)=N20,O20,0)</f>
        <v>1</v>
      </c>
      <c r="L20" s="235">
        <f>VLOOKUP($Q20,kopir!$A$1:$L$90,12,FALSE)</f>
        <v>0</v>
      </c>
      <c r="M20" s="235">
        <f>IF(G20=0,0,CONCATENATE(VLOOKUP($Q20,kopir!$A$1:$M$93,7,FALSE),G20))</f>
        <v>0</v>
      </c>
      <c r="N20" s="235">
        <f>VLOOKUP($Q20,kopir!$A$1:$M$91,7,FALSE)</f>
        <v>0</v>
      </c>
      <c r="O20" s="252">
        <f t="shared" si="2"/>
        <v>1</v>
      </c>
      <c r="P20" s="252">
        <f t="shared" si="3"/>
        <v>0</v>
      </c>
      <c r="Q20" s="235">
        <v>3</v>
      </c>
    </row>
    <row r="21" spans="1:17" x14ac:dyDescent="0.25">
      <c r="A21" s="245" t="str">
        <f>VLOOKUP($Q21,kopir!$A$1:$M$93,13,0)</f>
        <v>2.1</v>
      </c>
      <c r="B21" s="235">
        <f>P21</f>
        <v>1</v>
      </c>
      <c r="C21" s="235">
        <f>VLOOKUP($Q21,kopir!$A$1:$L$90,2,FALSE)</f>
        <v>0</v>
      </c>
      <c r="D21" s="235">
        <f>VLOOKUP($Q21,kopir!$A$1:$L$90,3,FALSE)</f>
        <v>164</v>
      </c>
      <c r="E21" s="235">
        <f>VLOOKUP($Q21,kopir!$A$1:$L$90,4,FALSE)</f>
        <v>0</v>
      </c>
      <c r="F21" s="235"/>
      <c r="G21" s="235">
        <f>IF(VLOOKUP($Q21,kopir!$A$1:$L$90,6,FALSE)&gt;0,VLOOKUP($Q21,kopir!$A$1:$L$90,6,FALSE),0)</f>
        <v>18</v>
      </c>
      <c r="H21" s="235">
        <f>IF(VLOOKUP($Q21,kopir!$A$1:$L$90,8,FALSE)=N21,O21,0)</f>
        <v>1</v>
      </c>
      <c r="I21" s="235">
        <f>IF(VLOOKUP($Q21,kopir!$A$1:$L$90,9,FALSE)=N21,O21,0)</f>
        <v>1</v>
      </c>
      <c r="J21" s="235">
        <f>IF(VLOOKUP($Q21,kopir!$A$1:$L$90,10,FALSE)=N21,O21,0)</f>
        <v>1</v>
      </c>
      <c r="K21" s="235">
        <f>IF(VLOOKUP($Q21,kopir!$A$1:$L$90,11,FALSE)=N21,O21,0)</f>
        <v>1</v>
      </c>
      <c r="L21" s="235">
        <f>VLOOKUP($Q21,kopir!$A$1:$L$90,12,FALSE)</f>
        <v>0</v>
      </c>
      <c r="M21" s="235" t="str">
        <f>IF(G21=0,0,CONCATENATE(VLOOKUP($Q21,kopir!$A$1:$M$93,7,FALSE),G21))</f>
        <v>018</v>
      </c>
      <c r="N21" s="235">
        <f>VLOOKUP($Q21,kopir!$A$1:$M$91,7,FALSE)</f>
        <v>0</v>
      </c>
      <c r="O21" s="252">
        <f t="shared" si="2"/>
        <v>1</v>
      </c>
      <c r="P21" s="252">
        <f t="shared" si="3"/>
        <v>1</v>
      </c>
      <c r="Q21" s="235">
        <v>4</v>
      </c>
    </row>
    <row r="22" spans="1:17" x14ac:dyDescent="0.25">
      <c r="A22" s="245" t="str">
        <f>VLOOKUP($Q22,kopir!$A$1:$M$93,13,0)</f>
        <v>2.2</v>
      </c>
      <c r="B22" s="235">
        <f t="shared" si="1"/>
        <v>1</v>
      </c>
      <c r="C22" s="235">
        <f>VLOOKUP($Q22,kopir!$A$1:$L$90,2,FALSE)</f>
        <v>0</v>
      </c>
      <c r="D22" s="235">
        <f>VLOOKUP($Q22,kopir!$A$1:$L$90,3,FALSE)</f>
        <v>0</v>
      </c>
      <c r="E22" s="235">
        <f>VLOOKUP($Q22,kopir!$A$1:$L$90,4,FALSE)</f>
        <v>0</v>
      </c>
      <c r="F22" s="235"/>
      <c r="G22" s="235">
        <f>IF(VLOOKUP($Q22,kopir!$A$1:$L$90,6,FALSE)&gt;0,VLOOKUP($Q22,kopir!$A$1:$L$90,6,FALSE),0)</f>
        <v>18</v>
      </c>
      <c r="H22" s="235">
        <f>IF(VLOOKUP($Q22,kopir!$A$1:$L$90,8,FALSE)=N22,O22,0)</f>
        <v>1</v>
      </c>
      <c r="I22" s="235">
        <f>IF(VLOOKUP($Q22,kopir!$A$1:$L$90,9,FALSE)=N22,O22,0)</f>
        <v>1</v>
      </c>
      <c r="J22" s="235">
        <f>IF(VLOOKUP($Q22,kopir!$A$1:$L$90,10,FALSE)=N22,O22,0)</f>
        <v>1</v>
      </c>
      <c r="K22" s="235">
        <f>IF(VLOOKUP($Q22,kopir!$A$1:$L$90,11,FALSE)=N22,O22,0)</f>
        <v>1</v>
      </c>
      <c r="L22" s="235">
        <f>VLOOKUP($Q22,kopir!$A$1:$L$90,12,FALSE)</f>
        <v>0</v>
      </c>
      <c r="M22" s="235" t="str">
        <f>IF(G22=0,0,CONCATENATE(VLOOKUP($Q22,kopir!$A$1:$M$93,7,FALSE),G22))</f>
        <v>018</v>
      </c>
      <c r="N22" s="235">
        <f>VLOOKUP($Q22,kopir!$A$1:$M$91,7,FALSE)</f>
        <v>0</v>
      </c>
      <c r="O22" s="252">
        <f t="shared" si="2"/>
        <v>1</v>
      </c>
      <c r="P22" s="252">
        <f t="shared" si="3"/>
        <v>1</v>
      </c>
      <c r="Q22" s="235">
        <v>5</v>
      </c>
    </row>
    <row r="23" spans="1:17" x14ac:dyDescent="0.25">
      <c r="A23" s="245" t="str">
        <f>VLOOKUP($Q23,kopir!$A$1:$M$93,13,0)</f>
        <v>2.3</v>
      </c>
      <c r="B23" s="235">
        <f t="shared" si="1"/>
        <v>0</v>
      </c>
      <c r="C23" s="235">
        <f>VLOOKUP($Q23,kopir!$A$1:$L$90,2,FALSE)</f>
        <v>0</v>
      </c>
      <c r="D23" s="235">
        <f>VLOOKUP($Q23,kopir!$A$1:$L$90,3,FALSE)</f>
        <v>0</v>
      </c>
      <c r="E23" s="235">
        <f>VLOOKUP($Q23,kopir!$A$1:$L$90,4,FALSE)</f>
        <v>0</v>
      </c>
      <c r="F23" s="235"/>
      <c r="G23" s="235">
        <f>IF(VLOOKUP($Q23,kopir!$A$1:$L$90,6,FALSE)&gt;0,VLOOKUP($Q23,kopir!$A$1:$L$90,6,FALSE),0)</f>
        <v>0</v>
      </c>
      <c r="H23" s="235">
        <f>IF(VLOOKUP($Q23,kopir!$A$1:$L$90,8,FALSE)=N23,O23,0)</f>
        <v>1</v>
      </c>
      <c r="I23" s="235">
        <f>IF(VLOOKUP($Q23,kopir!$A$1:$L$90,9,FALSE)=N23,O23,0)</f>
        <v>1</v>
      </c>
      <c r="J23" s="235">
        <f>IF(VLOOKUP($Q23,kopir!$A$1:$L$90,10,FALSE)=N23,O23,0)</f>
        <v>1</v>
      </c>
      <c r="K23" s="235">
        <f>IF(VLOOKUP($Q23,kopir!$A$1:$L$90,11,FALSE)=N23,O23,0)</f>
        <v>1</v>
      </c>
      <c r="L23" s="235">
        <f>VLOOKUP($Q23,kopir!$A$1:$L$90,12,FALSE)</f>
        <v>0</v>
      </c>
      <c r="M23" s="235">
        <f>IF(G23=0,0,CONCATENATE(VLOOKUP($Q23,kopir!$A$1:$M$93,7,FALSE),G23))</f>
        <v>0</v>
      </c>
      <c r="N23" s="235">
        <f>VLOOKUP($Q23,kopir!$A$1:$M$91,7,FALSE)</f>
        <v>0</v>
      </c>
      <c r="O23" s="252">
        <f t="shared" si="2"/>
        <v>1</v>
      </c>
      <c r="P23" s="252">
        <f t="shared" si="3"/>
        <v>0</v>
      </c>
      <c r="Q23" s="235">
        <v>6</v>
      </c>
    </row>
    <row r="24" spans="1:17" x14ac:dyDescent="0.25">
      <c r="A24" s="245" t="str">
        <f>VLOOKUP($Q24,kopir!$A$1:$M$93,13,0)</f>
        <v>3.1</v>
      </c>
      <c r="B24" s="235">
        <f t="shared" si="1"/>
        <v>1</v>
      </c>
      <c r="C24" s="235">
        <f>VLOOKUP($Q24,kopir!$A$1:$L$90,2,FALSE)</f>
        <v>0</v>
      </c>
      <c r="D24" s="235">
        <f>VLOOKUP($Q24,kopir!$A$1:$L$90,3,FALSE)</f>
        <v>164</v>
      </c>
      <c r="E24" s="235">
        <f>VLOOKUP($Q24,kopir!$A$1:$L$90,4,FALSE)</f>
        <v>0</v>
      </c>
      <c r="F24" s="235"/>
      <c r="G24" s="235">
        <f>IF(VLOOKUP($Q24,kopir!$A$1:$L$90,6,FALSE)&gt;0,VLOOKUP($Q24,kopir!$A$1:$L$90,6,FALSE),0)</f>
        <v>18</v>
      </c>
      <c r="H24" s="235">
        <f>IF(VLOOKUP($Q24,kopir!$A$1:$L$90,8,FALSE)=N24,O24,0)</f>
        <v>1</v>
      </c>
      <c r="I24" s="235">
        <f>IF(VLOOKUP($Q24,kopir!$A$1:$L$90,9,FALSE)=N24,O24,0)</f>
        <v>1</v>
      </c>
      <c r="J24" s="235">
        <f>IF(VLOOKUP($Q24,kopir!$A$1:$L$90,10,FALSE)=N24,O24,0)</f>
        <v>1</v>
      </c>
      <c r="K24" s="235">
        <f>IF(VLOOKUP($Q24,kopir!$A$1:$L$90,11,FALSE)=N24,O24,0)</f>
        <v>1</v>
      </c>
      <c r="L24" s="235">
        <f>VLOOKUP($Q24,kopir!$A$1:$L$90,12,FALSE)</f>
        <v>0</v>
      </c>
      <c r="M24" s="235" t="str">
        <f>IF(G24=0,0,CONCATENATE(VLOOKUP($Q24,kopir!$A$1:$M$93,7,FALSE),G24))</f>
        <v>018</v>
      </c>
      <c r="N24" s="235">
        <f>VLOOKUP($Q24,kopir!$A$1:$M$91,7,FALSE)</f>
        <v>0</v>
      </c>
      <c r="O24" s="252">
        <f t="shared" si="2"/>
        <v>1</v>
      </c>
      <c r="P24" s="252">
        <f t="shared" si="3"/>
        <v>1</v>
      </c>
      <c r="Q24" s="235">
        <v>7</v>
      </c>
    </row>
    <row r="25" spans="1:17" x14ac:dyDescent="0.25">
      <c r="A25" s="245" t="str">
        <f>VLOOKUP($Q25,kopir!$A$1:$M$93,13,0)</f>
        <v>3.2</v>
      </c>
      <c r="B25" s="235">
        <f t="shared" si="1"/>
        <v>1</v>
      </c>
      <c r="C25" s="235">
        <f>VLOOKUP($Q25,kopir!$A$1:$L$90,2,FALSE)</f>
        <v>0</v>
      </c>
      <c r="D25" s="235">
        <f>VLOOKUP($Q25,kopir!$A$1:$L$90,3,FALSE)</f>
        <v>0</v>
      </c>
      <c r="E25" s="235">
        <f>VLOOKUP($Q25,kopir!$A$1:$L$90,4,FALSE)</f>
        <v>0</v>
      </c>
      <c r="F25" s="235"/>
      <c r="G25" s="235">
        <f>IF(VLOOKUP($Q25,kopir!$A$1:$L$90,6,FALSE)&gt;0,VLOOKUP($Q25,kopir!$A$1:$L$90,6,FALSE),0)</f>
        <v>18</v>
      </c>
      <c r="H25" s="235">
        <f>IF(VLOOKUP($Q25,kopir!$A$1:$L$90,8,FALSE)=N25,O25,0)</f>
        <v>1</v>
      </c>
      <c r="I25" s="235">
        <f>IF(VLOOKUP($Q25,kopir!$A$1:$L$90,9,FALSE)=N25,O25,0)</f>
        <v>1</v>
      </c>
      <c r="J25" s="235">
        <f>IF(VLOOKUP($Q25,kopir!$A$1:$L$90,10,FALSE)=N25,O25,0)</f>
        <v>1</v>
      </c>
      <c r="K25" s="235">
        <f>IF(VLOOKUP($Q25,kopir!$A$1:$L$90,11,FALSE)=N25,O25,0)</f>
        <v>1</v>
      </c>
      <c r="L25" s="235">
        <f>VLOOKUP($Q25,kopir!$A$1:$L$90,12,FALSE)</f>
        <v>0</v>
      </c>
      <c r="M25" s="235" t="str">
        <f>IF(G25=0,0,CONCATENATE(VLOOKUP($Q25,kopir!$A$1:$M$93,7,FALSE),G25))</f>
        <v>018</v>
      </c>
      <c r="N25" s="235">
        <f>VLOOKUP($Q25,kopir!$A$1:$M$91,7,FALSE)</f>
        <v>0</v>
      </c>
      <c r="O25" s="252">
        <f t="shared" si="2"/>
        <v>1</v>
      </c>
      <c r="P25" s="252">
        <f t="shared" si="3"/>
        <v>1</v>
      </c>
      <c r="Q25" s="235">
        <v>8</v>
      </c>
    </row>
    <row r="26" spans="1:17" x14ac:dyDescent="0.25">
      <c r="A26" s="245" t="str">
        <f>VLOOKUP($Q26,kopir!$A$1:$M$93,13,0)</f>
        <v>3.3</v>
      </c>
      <c r="B26" s="235">
        <f t="shared" si="1"/>
        <v>0</v>
      </c>
      <c r="C26" s="235">
        <f>VLOOKUP($Q26,kopir!$A$1:$L$90,2,FALSE)</f>
        <v>0</v>
      </c>
      <c r="D26" s="235">
        <f>VLOOKUP($Q26,kopir!$A$1:$L$90,3,FALSE)</f>
        <v>0</v>
      </c>
      <c r="E26" s="235">
        <f>VLOOKUP($Q26,kopir!$A$1:$L$90,4,FALSE)</f>
        <v>0</v>
      </c>
      <c r="F26" s="235"/>
      <c r="G26" s="235">
        <f>IF(VLOOKUP($Q26,kopir!$A$1:$L$90,6,FALSE)&gt;0,VLOOKUP($Q26,kopir!$A$1:$L$90,6,FALSE),0)</f>
        <v>0</v>
      </c>
      <c r="H26" s="235">
        <f>IF(VLOOKUP($Q26,kopir!$A$1:$L$90,8,FALSE)=N26,O26,0)</f>
        <v>1</v>
      </c>
      <c r="I26" s="235">
        <f>IF(VLOOKUP($Q26,kopir!$A$1:$L$90,9,FALSE)=N26,O26,0)</f>
        <v>1</v>
      </c>
      <c r="J26" s="235">
        <f>IF(VLOOKUP($Q26,kopir!$A$1:$L$90,10,FALSE)=N26,O26,0)</f>
        <v>1</v>
      </c>
      <c r="K26" s="235">
        <f>IF(VLOOKUP($Q26,kopir!$A$1:$L$90,11,FALSE)=N26,O26,0)</f>
        <v>1</v>
      </c>
      <c r="L26" s="235">
        <f>VLOOKUP($Q26,kopir!$A$1:$L$90,12,FALSE)</f>
        <v>0</v>
      </c>
      <c r="M26" s="235">
        <f>IF(G26=0,0,CONCATENATE(VLOOKUP($Q26,kopir!$A$1:$M$93,7,FALSE),G26))</f>
        <v>0</v>
      </c>
      <c r="N26" s="235">
        <f>VLOOKUP($Q26,kopir!$A$1:$M$91,7,FALSE)</f>
        <v>0</v>
      </c>
      <c r="O26" s="252">
        <f t="shared" si="2"/>
        <v>1</v>
      </c>
      <c r="P26" s="252">
        <f t="shared" si="3"/>
        <v>0</v>
      </c>
      <c r="Q26" s="235">
        <v>9</v>
      </c>
    </row>
    <row r="27" spans="1:17" x14ac:dyDescent="0.25">
      <c r="A27" s="245" t="str">
        <f>VLOOKUP($Q27,kopir!$A$1:$M$93,13,0)</f>
        <v>4.1</v>
      </c>
      <c r="B27" s="235">
        <f t="shared" si="1"/>
        <v>1</v>
      </c>
      <c r="C27" s="235">
        <f>VLOOKUP($Q27,kopir!$A$1:$L$90,2,FALSE)</f>
        <v>0</v>
      </c>
      <c r="D27" s="235">
        <f>VLOOKUP($Q27,kopir!$A$1:$L$90,3,FALSE)</f>
        <v>164</v>
      </c>
      <c r="E27" s="235">
        <f>VLOOKUP($Q27,kopir!$A$1:$L$90,4,FALSE)</f>
        <v>0</v>
      </c>
      <c r="F27" s="235"/>
      <c r="G27" s="235">
        <f>IF(VLOOKUP($Q27,kopir!$A$1:$L$90,6,FALSE)&gt;0,VLOOKUP($Q27,kopir!$A$1:$L$90,6,FALSE),0)</f>
        <v>18</v>
      </c>
      <c r="H27" s="235">
        <f>IF(VLOOKUP($Q27,kopir!$A$1:$L$90,8,FALSE)=N27,O27,0)</f>
        <v>1</v>
      </c>
      <c r="I27" s="235">
        <f>IF(VLOOKUP($Q27,kopir!$A$1:$L$90,9,FALSE)=N27,O27,0)</f>
        <v>1</v>
      </c>
      <c r="J27" s="235">
        <f>IF(VLOOKUP($Q27,kopir!$A$1:$L$90,10,FALSE)=N27,O27,0)</f>
        <v>1</v>
      </c>
      <c r="K27" s="235">
        <f>IF(VLOOKUP($Q27,kopir!$A$1:$L$90,11,FALSE)=N27,O27,0)</f>
        <v>1</v>
      </c>
      <c r="L27" s="235">
        <f>VLOOKUP($Q27,kopir!$A$1:$L$90,12,FALSE)</f>
        <v>0</v>
      </c>
      <c r="M27" s="235" t="str">
        <f>IF(G27=0,0,CONCATENATE(VLOOKUP($Q27,kopir!$A$1:$M$93,7,FALSE),G27))</f>
        <v>018</v>
      </c>
      <c r="N27" s="235">
        <f>VLOOKUP($Q27,kopir!$A$1:$M$91,7,FALSE)</f>
        <v>0</v>
      </c>
      <c r="O27" s="252">
        <f t="shared" si="2"/>
        <v>1</v>
      </c>
      <c r="P27" s="252">
        <f t="shared" si="3"/>
        <v>1</v>
      </c>
      <c r="Q27" s="235">
        <v>10</v>
      </c>
    </row>
    <row r="28" spans="1:17" x14ac:dyDescent="0.25">
      <c r="A28" s="245" t="str">
        <f>VLOOKUP($Q28,kopir!$A$1:$M$93,13,0)</f>
        <v>4.2</v>
      </c>
      <c r="B28" s="235">
        <f t="shared" si="1"/>
        <v>1</v>
      </c>
      <c r="C28" s="235">
        <f>VLOOKUP($Q28,kopir!$A$1:$L$90,2,FALSE)</f>
        <v>0</v>
      </c>
      <c r="D28" s="235">
        <f>VLOOKUP($Q28,kopir!$A$1:$L$90,3,FALSE)</f>
        <v>0</v>
      </c>
      <c r="E28" s="235">
        <f>VLOOKUP($Q28,kopir!$A$1:$L$90,4,FALSE)</f>
        <v>0</v>
      </c>
      <c r="F28" s="235"/>
      <c r="G28" s="235">
        <f>IF(VLOOKUP($Q28,kopir!$A$1:$L$90,6,FALSE)&gt;0,VLOOKUP($Q28,kopir!$A$1:$L$90,6,FALSE),0)</f>
        <v>18</v>
      </c>
      <c r="H28" s="235">
        <f>IF(VLOOKUP($Q28,kopir!$A$1:$L$90,8,FALSE)=N28,O28,0)</f>
        <v>1</v>
      </c>
      <c r="I28" s="235">
        <f>IF(VLOOKUP($Q28,kopir!$A$1:$L$90,9,FALSE)=N28,O28,0)</f>
        <v>1</v>
      </c>
      <c r="J28" s="235">
        <f>IF(VLOOKUP($Q28,kopir!$A$1:$L$90,10,FALSE)=N28,O28,0)</f>
        <v>1</v>
      </c>
      <c r="K28" s="235">
        <f>IF(VLOOKUP($Q28,kopir!$A$1:$L$90,11,FALSE)=N28,O28,0)</f>
        <v>1</v>
      </c>
      <c r="L28" s="235">
        <f>VLOOKUP($Q28,kopir!$A$1:$L$90,12,FALSE)</f>
        <v>0</v>
      </c>
      <c r="M28" s="235" t="str">
        <f>IF(G28=0,0,CONCATENATE(VLOOKUP($Q28,kopir!$A$1:$M$93,7,FALSE),G28))</f>
        <v>018</v>
      </c>
      <c r="N28" s="235">
        <f>VLOOKUP($Q28,kopir!$A$1:$M$91,7,FALSE)</f>
        <v>0</v>
      </c>
      <c r="O28" s="252">
        <f t="shared" si="2"/>
        <v>1</v>
      </c>
      <c r="P28" s="252">
        <f t="shared" si="3"/>
        <v>1</v>
      </c>
      <c r="Q28" s="235">
        <v>11</v>
      </c>
    </row>
    <row r="29" spans="1:17" x14ac:dyDescent="0.25">
      <c r="A29" s="245" t="str">
        <f>VLOOKUP($Q29,kopir!$A$1:$M$93,13,0)</f>
        <v>4.3</v>
      </c>
      <c r="B29" s="235">
        <f t="shared" si="1"/>
        <v>0</v>
      </c>
      <c r="C29" s="235">
        <f>VLOOKUP($Q29,kopir!$A$1:$L$90,2,FALSE)</f>
        <v>0</v>
      </c>
      <c r="D29" s="235">
        <f>VLOOKUP($Q29,kopir!$A$1:$L$90,3,FALSE)</f>
        <v>0</v>
      </c>
      <c r="E29" s="235">
        <f>VLOOKUP($Q29,kopir!$A$1:$L$90,4,FALSE)</f>
        <v>0</v>
      </c>
      <c r="F29" s="235"/>
      <c r="G29" s="235">
        <f>IF(VLOOKUP($Q29,kopir!$A$1:$L$90,6,FALSE)&gt;0,VLOOKUP($Q29,kopir!$A$1:$L$90,6,FALSE),0)</f>
        <v>0</v>
      </c>
      <c r="H29" s="235">
        <f>IF(VLOOKUP($Q29,kopir!$A$1:$L$90,8,FALSE)=N29,O29,0)</f>
        <v>1</v>
      </c>
      <c r="I29" s="235">
        <f>IF(VLOOKUP($Q29,kopir!$A$1:$L$90,9,FALSE)=N29,O29,0)</f>
        <v>1</v>
      </c>
      <c r="J29" s="235">
        <f>IF(VLOOKUP($Q29,kopir!$A$1:$L$90,10,FALSE)=N29,O29,0)</f>
        <v>1</v>
      </c>
      <c r="K29" s="235">
        <f>IF(VLOOKUP($Q29,kopir!$A$1:$L$90,11,FALSE)=N29,O29,0)</f>
        <v>1</v>
      </c>
      <c r="L29" s="235">
        <f>VLOOKUP($Q29,kopir!$A$1:$L$90,12,FALSE)</f>
        <v>0</v>
      </c>
      <c r="M29" s="235">
        <f>IF(G29=0,0,CONCATENATE(VLOOKUP($Q29,kopir!$A$1:$M$93,7,FALSE),G29))</f>
        <v>0</v>
      </c>
      <c r="N29" s="235">
        <f>VLOOKUP($Q29,kopir!$A$1:$M$91,7,FALSE)</f>
        <v>0</v>
      </c>
      <c r="O29" s="252">
        <f t="shared" si="2"/>
        <v>1</v>
      </c>
      <c r="P29" s="252">
        <f t="shared" si="3"/>
        <v>0</v>
      </c>
      <c r="Q29" s="235">
        <v>12</v>
      </c>
    </row>
    <row r="30" spans="1:17" x14ac:dyDescent="0.25">
      <c r="A30" s="245" t="str">
        <f>VLOOKUP($Q30,kopir!$A$1:$M$93,13,0)</f>
        <v>5.1</v>
      </c>
      <c r="B30" s="235">
        <f t="shared" si="1"/>
        <v>1</v>
      </c>
      <c r="C30" s="235">
        <f>VLOOKUP($Q30,kopir!$A$1:$L$90,2,FALSE)</f>
        <v>0</v>
      </c>
      <c r="D30" s="235">
        <f>VLOOKUP($Q30,kopir!$A$1:$L$90,3,FALSE)</f>
        <v>164</v>
      </c>
      <c r="E30" s="235">
        <f>VLOOKUP($Q30,kopir!$A$1:$L$90,4,FALSE)</f>
        <v>0</v>
      </c>
      <c r="F30" s="235"/>
      <c r="G30" s="235">
        <f>IF(VLOOKUP($Q30,kopir!$A$1:$L$90,6,FALSE)&gt;0,VLOOKUP($Q30,kopir!$A$1:$L$90,6,FALSE),0)</f>
        <v>18</v>
      </c>
      <c r="H30" s="235">
        <f>IF(VLOOKUP($Q30,kopir!$A$1:$L$90,8,FALSE)=N30,O30,0)</f>
        <v>1</v>
      </c>
      <c r="I30" s="235">
        <f>IF(VLOOKUP($Q30,kopir!$A$1:$L$90,9,FALSE)=N30,O30,0)</f>
        <v>1</v>
      </c>
      <c r="J30" s="235">
        <f>IF(VLOOKUP($Q30,kopir!$A$1:$L$90,10,FALSE)=N30,O30,0)</f>
        <v>1</v>
      </c>
      <c r="K30" s="235">
        <f>IF(VLOOKUP($Q30,kopir!$A$1:$L$90,11,FALSE)=N30,O30,0)</f>
        <v>1</v>
      </c>
      <c r="L30" s="235">
        <f>VLOOKUP($Q30,kopir!$A$1:$L$90,12,FALSE)</f>
        <v>0</v>
      </c>
      <c r="M30" s="235" t="str">
        <f>IF(G30=0,0,CONCATENATE(VLOOKUP($Q30,kopir!$A$1:$M$93,7,FALSE),G30))</f>
        <v>018</v>
      </c>
      <c r="N30" s="235">
        <f>VLOOKUP($Q30,kopir!$A$1:$M$91,7,FALSE)</f>
        <v>0</v>
      </c>
      <c r="O30" s="252">
        <f t="shared" si="2"/>
        <v>1</v>
      </c>
      <c r="P30" s="252">
        <f t="shared" si="3"/>
        <v>1</v>
      </c>
      <c r="Q30" s="235">
        <v>13</v>
      </c>
    </row>
    <row r="31" spans="1:17" x14ac:dyDescent="0.25">
      <c r="A31" s="245" t="str">
        <f>VLOOKUP($Q31,kopir!$A$1:$M$93,13,0)</f>
        <v>5.2</v>
      </c>
      <c r="B31" s="235">
        <f t="shared" si="1"/>
        <v>1</v>
      </c>
      <c r="C31" s="235">
        <f>VLOOKUP($Q31,kopir!$A$1:$L$90,2,FALSE)</f>
        <v>0</v>
      </c>
      <c r="D31" s="235">
        <f>VLOOKUP($Q31,kopir!$A$1:$L$90,3,FALSE)</f>
        <v>0</v>
      </c>
      <c r="E31" s="235">
        <f>VLOOKUP($Q31,kopir!$A$1:$L$90,4,FALSE)</f>
        <v>0</v>
      </c>
      <c r="F31" s="235"/>
      <c r="G31" s="235">
        <f>IF(VLOOKUP($Q31,kopir!$A$1:$L$90,6,FALSE)&gt;0,VLOOKUP($Q31,kopir!$A$1:$L$90,6,FALSE),0)</f>
        <v>18</v>
      </c>
      <c r="H31" s="235">
        <f>IF(VLOOKUP($Q31,kopir!$A$1:$L$90,8,FALSE)=N31,O31,0)</f>
        <v>1</v>
      </c>
      <c r="I31" s="235">
        <f>IF(VLOOKUP($Q31,kopir!$A$1:$L$90,9,FALSE)=N31,O31,0)</f>
        <v>1</v>
      </c>
      <c r="J31" s="235">
        <f>IF(VLOOKUP($Q31,kopir!$A$1:$L$90,10,FALSE)=N31,O31,0)</f>
        <v>1</v>
      </c>
      <c r="K31" s="235">
        <f>IF(VLOOKUP($Q31,kopir!$A$1:$L$90,11,FALSE)=N31,O31,0)</f>
        <v>1</v>
      </c>
      <c r="L31" s="235">
        <f>VLOOKUP($Q31,kopir!$A$1:$L$90,12,FALSE)</f>
        <v>0</v>
      </c>
      <c r="M31" s="235" t="str">
        <f>IF(G31=0,0,CONCATENATE(VLOOKUP($Q31,kopir!$A$1:$M$93,7,FALSE),G31))</f>
        <v>018</v>
      </c>
      <c r="N31" s="235">
        <f>VLOOKUP($Q31,kopir!$A$1:$M$91,7,FALSE)</f>
        <v>0</v>
      </c>
      <c r="O31" s="252">
        <f t="shared" si="2"/>
        <v>1</v>
      </c>
      <c r="P31" s="252">
        <f t="shared" si="3"/>
        <v>1</v>
      </c>
      <c r="Q31" s="235">
        <v>14</v>
      </c>
    </row>
    <row r="32" spans="1:17" x14ac:dyDescent="0.25">
      <c r="A32" s="245" t="str">
        <f>VLOOKUP($Q32,kopir!$A$1:$M$93,13,0)</f>
        <v>5.3</v>
      </c>
      <c r="B32" s="235">
        <f t="shared" si="1"/>
        <v>0</v>
      </c>
      <c r="C32" s="235">
        <f>VLOOKUP($Q32,kopir!$A$1:$L$90,2,FALSE)</f>
        <v>0</v>
      </c>
      <c r="D32" s="235">
        <f>VLOOKUP($Q32,kopir!$A$1:$L$90,3,FALSE)</f>
        <v>0</v>
      </c>
      <c r="E32" s="235">
        <f>VLOOKUP($Q32,kopir!$A$1:$L$90,4,FALSE)</f>
        <v>0</v>
      </c>
      <c r="F32" s="235"/>
      <c r="G32" s="235">
        <f>IF(VLOOKUP($Q32,kopir!$A$1:$L$90,6,FALSE)&gt;0,VLOOKUP($Q32,kopir!$A$1:$L$90,6,FALSE),0)</f>
        <v>0</v>
      </c>
      <c r="H32" s="235">
        <f>IF(VLOOKUP($Q32,kopir!$A$1:$L$90,8,FALSE)=N32,O32,0)</f>
        <v>1</v>
      </c>
      <c r="I32" s="235">
        <f>IF(VLOOKUP($Q32,kopir!$A$1:$L$90,9,FALSE)=N32,O32,0)</f>
        <v>1</v>
      </c>
      <c r="J32" s="235">
        <f>IF(VLOOKUP($Q32,kopir!$A$1:$L$90,10,FALSE)=N32,O32,0)</f>
        <v>1</v>
      </c>
      <c r="K32" s="235">
        <f>IF(VLOOKUP($Q32,kopir!$A$1:$L$90,11,FALSE)=N32,O32,0)</f>
        <v>1</v>
      </c>
      <c r="L32" s="235">
        <f>VLOOKUP($Q32,kopir!$A$1:$L$90,12,FALSE)</f>
        <v>0</v>
      </c>
      <c r="M32" s="235">
        <f>IF(G32=0,0,CONCATENATE(VLOOKUP($Q32,kopir!$A$1:$M$93,7,FALSE),G32))</f>
        <v>0</v>
      </c>
      <c r="N32" s="235">
        <f>VLOOKUP($Q32,kopir!$A$1:$M$91,7,FALSE)</f>
        <v>0</v>
      </c>
      <c r="O32" s="252">
        <f t="shared" si="2"/>
        <v>1</v>
      </c>
      <c r="P32" s="252">
        <f t="shared" si="3"/>
        <v>0</v>
      </c>
      <c r="Q32" s="235">
        <v>15</v>
      </c>
    </row>
    <row r="33" spans="1:17" x14ac:dyDescent="0.25">
      <c r="A33" s="245" t="str">
        <f>VLOOKUP($Q33,kopir!$A$1:$M$93,13,0)</f>
        <v>6.1</v>
      </c>
      <c r="B33" s="235">
        <f t="shared" si="1"/>
        <v>1</v>
      </c>
      <c r="C33" s="235">
        <f>VLOOKUP($Q33,kopir!$A$1:$L$90,2,FALSE)</f>
        <v>0</v>
      </c>
      <c r="D33" s="235">
        <f>VLOOKUP($Q33,kopir!$A$1:$L$90,3,FALSE)</f>
        <v>164</v>
      </c>
      <c r="E33" s="235">
        <f>VLOOKUP($Q33,kopir!$A$1:$L$90,4,FALSE)</f>
        <v>0</v>
      </c>
      <c r="F33" s="235"/>
      <c r="G33" s="235">
        <f>IF(VLOOKUP($Q33,kopir!$A$1:$L$90,6,FALSE)&gt;0,VLOOKUP($Q33,kopir!$A$1:$L$90,6,FALSE),0)</f>
        <v>18</v>
      </c>
      <c r="H33" s="235">
        <f>IF(VLOOKUP($Q33,kopir!$A$1:$L$90,8,FALSE)=N33,O33,0)</f>
        <v>1</v>
      </c>
      <c r="I33" s="235">
        <f>IF(VLOOKUP($Q33,kopir!$A$1:$L$90,9,FALSE)=N33,O33,0)</f>
        <v>1</v>
      </c>
      <c r="J33" s="235">
        <f>IF(VLOOKUP($Q33,kopir!$A$1:$L$90,10,FALSE)=N33,O33,0)</f>
        <v>1</v>
      </c>
      <c r="K33" s="235">
        <f>IF(VLOOKUP($Q33,kopir!$A$1:$L$90,11,FALSE)=N33,O33,0)</f>
        <v>1</v>
      </c>
      <c r="L33" s="235">
        <f>VLOOKUP($Q33,kopir!$A$1:$L$90,12,FALSE)</f>
        <v>0</v>
      </c>
      <c r="M33" s="235" t="str">
        <f>IF(G33=0,0,CONCATENATE(VLOOKUP($Q33,kopir!$A$1:$M$93,7,FALSE),G33))</f>
        <v>018</v>
      </c>
      <c r="N33" s="235">
        <f>VLOOKUP($Q33,kopir!$A$1:$M$91,7,FALSE)</f>
        <v>0</v>
      </c>
      <c r="O33" s="252">
        <f t="shared" si="2"/>
        <v>1</v>
      </c>
      <c r="P33" s="252">
        <f t="shared" si="3"/>
        <v>1</v>
      </c>
      <c r="Q33" s="235">
        <v>16</v>
      </c>
    </row>
    <row r="34" spans="1:17" x14ac:dyDescent="0.25">
      <c r="A34" s="245" t="str">
        <f>VLOOKUP($Q34,kopir!$A$1:$M$93,13,0)</f>
        <v>6.2</v>
      </c>
      <c r="B34" s="235">
        <f t="shared" si="1"/>
        <v>1</v>
      </c>
      <c r="C34" s="235">
        <f>VLOOKUP($Q34,kopir!$A$1:$L$90,2,FALSE)</f>
        <v>0</v>
      </c>
      <c r="D34" s="235">
        <f>VLOOKUP($Q34,kopir!$A$1:$L$90,3,FALSE)</f>
        <v>0</v>
      </c>
      <c r="E34" s="235">
        <f>VLOOKUP($Q34,kopir!$A$1:$L$90,4,FALSE)</f>
        <v>0</v>
      </c>
      <c r="F34" s="235"/>
      <c r="G34" s="235">
        <f>IF(VLOOKUP($Q34,kopir!$A$1:$L$90,6,FALSE)&gt;0,VLOOKUP($Q34,kopir!$A$1:$L$90,6,FALSE),0)</f>
        <v>18</v>
      </c>
      <c r="H34" s="235">
        <f>IF(VLOOKUP($Q34,kopir!$A$1:$L$90,8,FALSE)=N34,O34,0)</f>
        <v>1</v>
      </c>
      <c r="I34" s="235">
        <f>IF(VLOOKUP($Q34,kopir!$A$1:$L$90,9,FALSE)=N34,O34,0)</f>
        <v>1</v>
      </c>
      <c r="J34" s="235">
        <f>IF(VLOOKUP($Q34,kopir!$A$1:$L$90,10,FALSE)=N34,O34,0)</f>
        <v>1</v>
      </c>
      <c r="K34" s="235">
        <f>IF(VLOOKUP($Q34,kopir!$A$1:$L$90,11,FALSE)=N34,O34,0)</f>
        <v>1</v>
      </c>
      <c r="L34" s="235">
        <f>VLOOKUP($Q34,kopir!$A$1:$L$90,12,FALSE)</f>
        <v>0</v>
      </c>
      <c r="M34" s="235" t="str">
        <f>IF(G34=0,0,CONCATENATE(VLOOKUP($Q34,kopir!$A$1:$M$93,7,FALSE),G34))</f>
        <v>018</v>
      </c>
      <c r="N34" s="235">
        <f>VLOOKUP($Q34,kopir!$A$1:$M$91,7,FALSE)</f>
        <v>0</v>
      </c>
      <c r="O34" s="252">
        <f t="shared" si="2"/>
        <v>1</v>
      </c>
      <c r="P34" s="252">
        <f t="shared" si="3"/>
        <v>1</v>
      </c>
      <c r="Q34" s="235">
        <v>17</v>
      </c>
    </row>
    <row r="35" spans="1:17" x14ac:dyDescent="0.25">
      <c r="A35" s="245" t="str">
        <f>VLOOKUP($Q35,kopir!$A$1:$M$93,13,0)</f>
        <v>6.3</v>
      </c>
      <c r="B35" s="235">
        <f t="shared" si="1"/>
        <v>0</v>
      </c>
      <c r="C35" s="235">
        <f>VLOOKUP($Q35,kopir!$A$1:$L$90,2,FALSE)</f>
        <v>0</v>
      </c>
      <c r="D35" s="235">
        <f>VLOOKUP($Q35,kopir!$A$1:$L$90,3,FALSE)</f>
        <v>0</v>
      </c>
      <c r="E35" s="235">
        <f>VLOOKUP($Q35,kopir!$A$1:$L$90,4,FALSE)</f>
        <v>0</v>
      </c>
      <c r="F35" s="235"/>
      <c r="G35" s="235">
        <f>IF(VLOOKUP($Q35,kopir!$A$1:$L$90,6,FALSE)&gt;0,VLOOKUP($Q35,kopir!$A$1:$L$90,6,FALSE),0)</f>
        <v>0</v>
      </c>
      <c r="H35" s="235">
        <f>IF(VLOOKUP($Q35,kopir!$A$1:$L$90,8,FALSE)=N35,O35,0)</f>
        <v>1</v>
      </c>
      <c r="I35" s="235">
        <f>IF(VLOOKUP($Q35,kopir!$A$1:$L$90,9,FALSE)=N35,O35,0)</f>
        <v>1</v>
      </c>
      <c r="J35" s="235">
        <f>IF(VLOOKUP($Q35,kopir!$A$1:$L$90,10,FALSE)=N35,O35,0)</f>
        <v>1</v>
      </c>
      <c r="K35" s="235">
        <f>IF(VLOOKUP($Q35,kopir!$A$1:$L$90,11,FALSE)=N35,O35,0)</f>
        <v>1</v>
      </c>
      <c r="L35" s="235">
        <f>VLOOKUP($Q35,kopir!$A$1:$L$90,12,FALSE)</f>
        <v>0</v>
      </c>
      <c r="M35" s="235">
        <f>IF(G35=0,0,CONCATENATE(VLOOKUP($Q35,kopir!$A$1:$M$93,7,FALSE),G35))</f>
        <v>0</v>
      </c>
      <c r="N35" s="235">
        <f>VLOOKUP($Q35,kopir!$A$1:$M$91,7,FALSE)</f>
        <v>0</v>
      </c>
      <c r="O35" s="252">
        <f t="shared" si="2"/>
        <v>1</v>
      </c>
      <c r="P35" s="252">
        <f t="shared" si="3"/>
        <v>0</v>
      </c>
      <c r="Q35" s="235">
        <v>18</v>
      </c>
    </row>
    <row r="36" spans="1:17" x14ac:dyDescent="0.25">
      <c r="A36" s="245" t="str">
        <f>VLOOKUP($Q36,kopir!$A$1:$M$93,13,0)</f>
        <v>7.1</v>
      </c>
      <c r="B36" s="235">
        <f t="shared" si="1"/>
        <v>1</v>
      </c>
      <c r="C36" s="235">
        <f>VLOOKUP($Q36,kopir!$A$1:$L$90,2,FALSE)</f>
        <v>0</v>
      </c>
      <c r="D36" s="235">
        <f>VLOOKUP($Q36,kopir!$A$1:$L$90,3,FALSE)</f>
        <v>164</v>
      </c>
      <c r="E36" s="235">
        <f>VLOOKUP($Q36,kopir!$A$1:$L$90,4,FALSE)</f>
        <v>0</v>
      </c>
      <c r="F36" s="235"/>
      <c r="G36" s="235">
        <f>IF(VLOOKUP($Q36,kopir!$A$1:$L$90,6,FALSE)&gt;0,VLOOKUP($Q36,kopir!$A$1:$L$90,6,FALSE),0)</f>
        <v>18</v>
      </c>
      <c r="H36" s="235">
        <f>IF(VLOOKUP($Q36,kopir!$A$1:$L$90,8,FALSE)=N36,O36,0)</f>
        <v>1</v>
      </c>
      <c r="I36" s="235">
        <f>IF(VLOOKUP($Q36,kopir!$A$1:$L$90,9,FALSE)=N36,O36,0)</f>
        <v>1</v>
      </c>
      <c r="J36" s="235">
        <f>IF(VLOOKUP($Q36,kopir!$A$1:$L$90,10,FALSE)=N36,O36,0)</f>
        <v>1</v>
      </c>
      <c r="K36" s="235">
        <f>IF(VLOOKUP($Q36,kopir!$A$1:$L$90,11,FALSE)=N36,O36,0)</f>
        <v>1</v>
      </c>
      <c r="L36" s="235">
        <f>VLOOKUP($Q36,kopir!$A$1:$L$90,12,FALSE)</f>
        <v>0</v>
      </c>
      <c r="M36" s="235" t="str">
        <f>IF(G36=0,0,CONCATENATE(VLOOKUP($Q36,kopir!$A$1:$M$93,7,FALSE),G36))</f>
        <v>018</v>
      </c>
      <c r="N36" s="235">
        <f>VLOOKUP($Q36,kopir!$A$1:$M$91,7,FALSE)</f>
        <v>0</v>
      </c>
      <c r="O36" s="252">
        <f t="shared" si="2"/>
        <v>1</v>
      </c>
      <c r="P36" s="252">
        <f t="shared" si="3"/>
        <v>1</v>
      </c>
      <c r="Q36" s="235">
        <v>19</v>
      </c>
    </row>
    <row r="37" spans="1:17" x14ac:dyDescent="0.25">
      <c r="A37" s="245" t="str">
        <f>VLOOKUP($Q37,kopir!$A$1:$M$93,13,0)</f>
        <v>7.2</v>
      </c>
      <c r="B37" s="235">
        <f t="shared" si="1"/>
        <v>1</v>
      </c>
      <c r="C37" s="235">
        <f>VLOOKUP($Q37,kopir!$A$1:$L$90,2,FALSE)</f>
        <v>0</v>
      </c>
      <c r="D37" s="235">
        <f>VLOOKUP($Q37,kopir!$A$1:$L$90,3,FALSE)</f>
        <v>0</v>
      </c>
      <c r="E37" s="235">
        <f>VLOOKUP($Q37,kopir!$A$1:$L$90,4,FALSE)</f>
        <v>0</v>
      </c>
      <c r="F37" s="235"/>
      <c r="G37" s="235">
        <f>IF(VLOOKUP($Q37,kopir!$A$1:$L$90,6,FALSE)&gt;0,VLOOKUP($Q37,kopir!$A$1:$L$90,6,FALSE),0)</f>
        <v>18</v>
      </c>
      <c r="H37" s="235">
        <f>IF(VLOOKUP($Q37,kopir!$A$1:$L$90,8,FALSE)=N37,O37,0)</f>
        <v>1</v>
      </c>
      <c r="I37" s="235">
        <f>IF(VLOOKUP($Q37,kopir!$A$1:$L$90,9,FALSE)=N37,O37,0)</f>
        <v>1</v>
      </c>
      <c r="J37" s="235">
        <f>IF(VLOOKUP($Q37,kopir!$A$1:$L$90,10,FALSE)=N37,O37,0)</f>
        <v>1</v>
      </c>
      <c r="K37" s="235">
        <f>IF(VLOOKUP($Q37,kopir!$A$1:$L$90,11,FALSE)=N37,O37,0)</f>
        <v>1</v>
      </c>
      <c r="L37" s="235">
        <f>VLOOKUP($Q37,kopir!$A$1:$L$90,12,FALSE)</f>
        <v>0</v>
      </c>
      <c r="M37" s="235" t="str">
        <f>IF(G37=0,0,CONCATENATE(VLOOKUP($Q37,kopir!$A$1:$M$93,7,FALSE),G37))</f>
        <v>018</v>
      </c>
      <c r="N37" s="235">
        <f>VLOOKUP($Q37,kopir!$A$1:$M$91,7,FALSE)</f>
        <v>0</v>
      </c>
      <c r="O37" s="252">
        <f t="shared" si="2"/>
        <v>1</v>
      </c>
      <c r="P37" s="252">
        <f t="shared" si="3"/>
        <v>1</v>
      </c>
      <c r="Q37" s="235">
        <v>20</v>
      </c>
    </row>
    <row r="38" spans="1:17" x14ac:dyDescent="0.25">
      <c r="A38" s="245" t="str">
        <f>VLOOKUP($Q38,kopir!$A$1:$M$93,13,0)</f>
        <v>7.3</v>
      </c>
      <c r="B38" s="235">
        <f t="shared" si="1"/>
        <v>0</v>
      </c>
      <c r="C38" s="235">
        <f>VLOOKUP($Q38,kopir!$A$1:$L$90,2,FALSE)</f>
        <v>0</v>
      </c>
      <c r="D38" s="235">
        <f>VLOOKUP($Q38,kopir!$A$1:$L$90,3,FALSE)</f>
        <v>0</v>
      </c>
      <c r="E38" s="235">
        <f>VLOOKUP($Q38,kopir!$A$1:$L$90,4,FALSE)</f>
        <v>0</v>
      </c>
      <c r="F38" s="235"/>
      <c r="G38" s="235">
        <f>IF(VLOOKUP($Q38,kopir!$A$1:$L$90,6,FALSE)&gt;0,VLOOKUP($Q38,kopir!$A$1:$L$90,6,FALSE),0)</f>
        <v>0</v>
      </c>
      <c r="H38" s="235">
        <f>IF(VLOOKUP($Q38,kopir!$A$1:$L$90,8,FALSE)=N38,O38,0)</f>
        <v>1</v>
      </c>
      <c r="I38" s="235">
        <f>IF(VLOOKUP($Q38,kopir!$A$1:$L$90,9,FALSE)=N38,O38,0)</f>
        <v>1</v>
      </c>
      <c r="J38" s="235">
        <f>IF(VLOOKUP($Q38,kopir!$A$1:$L$90,10,FALSE)=N38,O38,0)</f>
        <v>1</v>
      </c>
      <c r="K38" s="235">
        <f>IF(VLOOKUP($Q38,kopir!$A$1:$L$90,11,FALSE)=N38,O38,0)</f>
        <v>1</v>
      </c>
      <c r="L38" s="235">
        <f>VLOOKUP($Q38,kopir!$A$1:$L$90,12,FALSE)</f>
        <v>0</v>
      </c>
      <c r="M38" s="235">
        <f>IF(G38=0,0,CONCATENATE(VLOOKUP($Q38,kopir!$A$1:$M$93,7,FALSE),G38))</f>
        <v>0</v>
      </c>
      <c r="N38" s="235">
        <f>VLOOKUP($Q38,kopir!$A$1:$M$91,7,FALSE)</f>
        <v>0</v>
      </c>
      <c r="O38" s="252">
        <f t="shared" si="2"/>
        <v>1</v>
      </c>
      <c r="P38" s="252">
        <f t="shared" si="3"/>
        <v>0</v>
      </c>
      <c r="Q38" s="235">
        <v>21</v>
      </c>
    </row>
    <row r="39" spans="1:17" x14ac:dyDescent="0.25">
      <c r="A39" s="245" t="str">
        <f>VLOOKUP($Q39,kopir!$A$1:$M$93,13,0)</f>
        <v>8.1</v>
      </c>
      <c r="B39" s="235">
        <f t="shared" si="1"/>
        <v>1</v>
      </c>
      <c r="C39" s="235">
        <f>VLOOKUP($Q39,kopir!$A$1:$L$90,2,FALSE)</f>
        <v>0</v>
      </c>
      <c r="D39" s="235">
        <f>VLOOKUP($Q39,kopir!$A$1:$L$90,3,FALSE)</f>
        <v>164</v>
      </c>
      <c r="E39" s="235">
        <f>VLOOKUP($Q39,kopir!$A$1:$L$90,4,FALSE)</f>
        <v>0</v>
      </c>
      <c r="F39" s="235"/>
      <c r="G39" s="235">
        <f>IF(VLOOKUP($Q39,kopir!$A$1:$L$90,6,FALSE)&gt;0,VLOOKUP($Q39,kopir!$A$1:$L$90,6,FALSE),0)</f>
        <v>18</v>
      </c>
      <c r="H39" s="235">
        <f>IF(VLOOKUP($Q39,kopir!$A$1:$L$90,8,FALSE)=N39,O39,0)</f>
        <v>1</v>
      </c>
      <c r="I39" s="235">
        <f>IF(VLOOKUP($Q39,kopir!$A$1:$L$90,9,FALSE)=N39,O39,0)</f>
        <v>1</v>
      </c>
      <c r="J39" s="235">
        <f>IF(VLOOKUP($Q39,kopir!$A$1:$L$90,10,FALSE)=N39,O39,0)</f>
        <v>1</v>
      </c>
      <c r="K39" s="235">
        <f>IF(VLOOKUP($Q39,kopir!$A$1:$L$90,11,FALSE)=N39,O39,0)</f>
        <v>1</v>
      </c>
      <c r="L39" s="235">
        <f>VLOOKUP($Q39,kopir!$A$1:$L$90,12,FALSE)</f>
        <v>0</v>
      </c>
      <c r="M39" s="235" t="str">
        <f>IF(G39=0,0,CONCATENATE(VLOOKUP($Q39,kopir!$A$1:$M$93,7,FALSE),G39))</f>
        <v>018</v>
      </c>
      <c r="N39" s="235">
        <f>VLOOKUP($Q39,kopir!$A$1:$M$91,7,FALSE)</f>
        <v>0</v>
      </c>
      <c r="O39" s="252">
        <f t="shared" si="2"/>
        <v>1</v>
      </c>
      <c r="P39" s="252">
        <f t="shared" si="3"/>
        <v>1</v>
      </c>
      <c r="Q39" s="235">
        <v>22</v>
      </c>
    </row>
    <row r="40" spans="1:17" x14ac:dyDescent="0.25">
      <c r="A40" s="245" t="str">
        <f>VLOOKUP($Q40,kopir!$A$1:$M$93,13,0)</f>
        <v>8.2</v>
      </c>
      <c r="B40" s="235">
        <f t="shared" si="1"/>
        <v>1</v>
      </c>
      <c r="C40" s="235">
        <f>VLOOKUP($Q40,kopir!$A$1:$L$90,2,FALSE)</f>
        <v>0</v>
      </c>
      <c r="D40" s="235">
        <f>VLOOKUP($Q40,kopir!$A$1:$L$90,3,FALSE)</f>
        <v>0</v>
      </c>
      <c r="E40" s="235">
        <f>VLOOKUP($Q40,kopir!$A$1:$L$90,4,FALSE)</f>
        <v>0</v>
      </c>
      <c r="F40" s="235"/>
      <c r="G40" s="235">
        <f>IF(VLOOKUP($Q40,kopir!$A$1:$L$90,6,FALSE)&gt;0,VLOOKUP($Q40,kopir!$A$1:$L$90,6,FALSE),0)</f>
        <v>18</v>
      </c>
      <c r="H40" s="235">
        <f>IF(VLOOKUP($Q40,kopir!$A$1:$L$90,8,FALSE)=N40,O40,0)</f>
        <v>1</v>
      </c>
      <c r="I40" s="235">
        <f>IF(VLOOKUP($Q40,kopir!$A$1:$L$90,9,FALSE)=N40,O40,0)</f>
        <v>1</v>
      </c>
      <c r="J40" s="235">
        <f>IF(VLOOKUP($Q40,kopir!$A$1:$L$90,10,FALSE)=N40,O40,0)</f>
        <v>1</v>
      </c>
      <c r="K40" s="235">
        <f>IF(VLOOKUP($Q40,kopir!$A$1:$L$90,11,FALSE)=N40,O40,0)</f>
        <v>1</v>
      </c>
      <c r="L40" s="235">
        <f>VLOOKUP($Q40,kopir!$A$1:$L$90,12,FALSE)</f>
        <v>0</v>
      </c>
      <c r="M40" s="235" t="str">
        <f>IF(G40=0,0,CONCATENATE(VLOOKUP($Q40,kopir!$A$1:$M$93,7,FALSE),G40))</f>
        <v>018</v>
      </c>
      <c r="N40" s="235">
        <f>VLOOKUP($Q40,kopir!$A$1:$M$91,7,FALSE)</f>
        <v>0</v>
      </c>
      <c r="O40" s="252">
        <f t="shared" si="2"/>
        <v>1</v>
      </c>
      <c r="P40" s="252">
        <f t="shared" si="3"/>
        <v>1</v>
      </c>
      <c r="Q40" s="235">
        <v>23</v>
      </c>
    </row>
    <row r="41" spans="1:17" x14ac:dyDescent="0.25">
      <c r="A41" s="245" t="str">
        <f>VLOOKUP($Q41,kopir!$A$1:$M$93,13,0)</f>
        <v>8.3</v>
      </c>
      <c r="B41" s="235">
        <f t="shared" si="1"/>
        <v>0</v>
      </c>
      <c r="C41" s="235">
        <f>VLOOKUP($Q41,kopir!$A$1:$L$90,2,FALSE)</f>
        <v>0</v>
      </c>
      <c r="D41" s="235">
        <f>VLOOKUP($Q41,kopir!$A$1:$L$90,3,FALSE)</f>
        <v>0</v>
      </c>
      <c r="E41" s="235">
        <f>VLOOKUP($Q41,kopir!$A$1:$L$90,4,FALSE)</f>
        <v>0</v>
      </c>
      <c r="F41" s="235"/>
      <c r="G41" s="235">
        <f>IF(VLOOKUP($Q41,kopir!$A$1:$L$90,6,FALSE)&gt;0,VLOOKUP($Q41,kopir!$A$1:$L$90,6,FALSE),0)</f>
        <v>0</v>
      </c>
      <c r="H41" s="235">
        <f>IF(VLOOKUP($Q41,kopir!$A$1:$L$90,8,FALSE)=N41,O41,0)</f>
        <v>1</v>
      </c>
      <c r="I41" s="235">
        <f>IF(VLOOKUP($Q41,kopir!$A$1:$L$90,9,FALSE)=N41,O41,0)</f>
        <v>1</v>
      </c>
      <c r="J41" s="235">
        <f>IF(VLOOKUP($Q41,kopir!$A$1:$L$90,10,FALSE)=N41,O41,0)</f>
        <v>1</v>
      </c>
      <c r="K41" s="235">
        <f>IF(VLOOKUP($Q41,kopir!$A$1:$L$90,11,FALSE)=N41,O41,0)</f>
        <v>1</v>
      </c>
      <c r="L41" s="235">
        <f>VLOOKUP($Q41,kopir!$A$1:$L$90,12,FALSE)</f>
        <v>0</v>
      </c>
      <c r="M41" s="235">
        <f>IF(G41=0,0,CONCATENATE(VLOOKUP($Q41,kopir!$A$1:$M$93,7,FALSE),G41))</f>
        <v>0</v>
      </c>
      <c r="N41" s="235">
        <f>VLOOKUP($Q41,kopir!$A$1:$M$91,7,FALSE)</f>
        <v>0</v>
      </c>
      <c r="O41" s="252">
        <f t="shared" si="2"/>
        <v>1</v>
      </c>
      <c r="P41" s="252">
        <f t="shared" si="3"/>
        <v>0</v>
      </c>
      <c r="Q41" s="235">
        <v>24</v>
      </c>
    </row>
    <row r="42" spans="1:17" x14ac:dyDescent="0.25">
      <c r="A42" s="245" t="str">
        <f>VLOOKUP($Q42,kopir!$A$1:$M$93,13,0)</f>
        <v>9.1</v>
      </c>
      <c r="B42" s="235">
        <f t="shared" si="1"/>
        <v>1</v>
      </c>
      <c r="C42" s="235">
        <f>VLOOKUP($Q42,kopir!$A$1:$L$90,2,FALSE)</f>
        <v>0</v>
      </c>
      <c r="D42" s="235">
        <f>VLOOKUP($Q42,kopir!$A$1:$L$90,3,FALSE)</f>
        <v>164</v>
      </c>
      <c r="E42" s="235">
        <f>VLOOKUP($Q42,kopir!$A$1:$L$90,4,FALSE)</f>
        <v>0</v>
      </c>
      <c r="F42" s="235"/>
      <c r="G42" s="235">
        <f>IF(VLOOKUP($Q42,kopir!$A$1:$L$90,6,FALSE)&gt;0,VLOOKUP($Q42,kopir!$A$1:$L$90,6,FALSE),0)</f>
        <v>18</v>
      </c>
      <c r="H42" s="235">
        <f>IF(VLOOKUP($Q42,kopir!$A$1:$L$90,8,FALSE)=N42,O42,0)</f>
        <v>1</v>
      </c>
      <c r="I42" s="235">
        <f>IF(VLOOKUP($Q42,kopir!$A$1:$L$90,9,FALSE)=N42,O42,0)</f>
        <v>1</v>
      </c>
      <c r="J42" s="235">
        <f>IF(VLOOKUP($Q42,kopir!$A$1:$L$90,10,FALSE)=N42,O42,0)</f>
        <v>1</v>
      </c>
      <c r="K42" s="235">
        <f>IF(VLOOKUP($Q42,kopir!$A$1:$L$90,11,FALSE)=N42,O42,0)</f>
        <v>1</v>
      </c>
      <c r="L42" s="235">
        <f>VLOOKUP($Q42,kopir!$A$1:$L$90,12,FALSE)</f>
        <v>0</v>
      </c>
      <c r="M42" s="235" t="str">
        <f>IF(G42=0,0,CONCATENATE(VLOOKUP($Q42,kopir!$A$1:$M$93,7,FALSE),G42))</f>
        <v>018</v>
      </c>
      <c r="N42" s="235">
        <f>VLOOKUP($Q42,kopir!$A$1:$M$91,7,FALSE)</f>
        <v>0</v>
      </c>
      <c r="O42" s="252">
        <f t="shared" si="2"/>
        <v>1</v>
      </c>
      <c r="P42" s="252">
        <f t="shared" si="3"/>
        <v>1</v>
      </c>
      <c r="Q42" s="235">
        <v>25</v>
      </c>
    </row>
    <row r="43" spans="1:17" x14ac:dyDescent="0.25">
      <c r="A43" s="245" t="str">
        <f>VLOOKUP($Q43,kopir!$A$1:$M$93,13,0)</f>
        <v>9.2</v>
      </c>
      <c r="B43" s="235">
        <f t="shared" si="1"/>
        <v>1</v>
      </c>
      <c r="C43" s="235">
        <f>VLOOKUP($Q43,kopir!$A$1:$L$90,2,FALSE)</f>
        <v>0</v>
      </c>
      <c r="D43" s="235">
        <f>VLOOKUP($Q43,kopir!$A$1:$L$90,3,FALSE)</f>
        <v>0</v>
      </c>
      <c r="E43" s="235">
        <f>VLOOKUP($Q43,kopir!$A$1:$L$90,4,FALSE)</f>
        <v>0</v>
      </c>
      <c r="F43" s="235"/>
      <c r="G43" s="235">
        <f>IF(VLOOKUP($Q43,kopir!$A$1:$L$90,6,FALSE)&gt;0,VLOOKUP($Q43,kopir!$A$1:$L$90,6,FALSE),0)</f>
        <v>18</v>
      </c>
      <c r="H43" s="235">
        <f>IF(VLOOKUP($Q43,kopir!$A$1:$L$90,8,FALSE)=N43,O43,0)</f>
        <v>1</v>
      </c>
      <c r="I43" s="235">
        <f>IF(VLOOKUP($Q43,kopir!$A$1:$L$90,9,FALSE)=N43,O43,0)</f>
        <v>1</v>
      </c>
      <c r="J43" s="235">
        <f>IF(VLOOKUP($Q43,kopir!$A$1:$L$90,10,FALSE)=N43,O43,0)</f>
        <v>1</v>
      </c>
      <c r="K43" s="235">
        <f>IF(VLOOKUP($Q43,kopir!$A$1:$L$90,11,FALSE)=N43,O43,0)</f>
        <v>1</v>
      </c>
      <c r="L43" s="235">
        <f>VLOOKUP($Q43,kopir!$A$1:$L$90,12,FALSE)</f>
        <v>0</v>
      </c>
      <c r="M43" s="235" t="str">
        <f>IF(G43=0,0,CONCATENATE(VLOOKUP($Q43,kopir!$A$1:$M$93,7,FALSE),G43))</f>
        <v>018</v>
      </c>
      <c r="N43" s="235">
        <f>VLOOKUP($Q43,kopir!$A$1:$M$91,7,FALSE)</f>
        <v>0</v>
      </c>
      <c r="O43" s="252">
        <f t="shared" si="2"/>
        <v>1</v>
      </c>
      <c r="P43" s="252">
        <f t="shared" si="3"/>
        <v>1</v>
      </c>
      <c r="Q43" s="235">
        <v>26</v>
      </c>
    </row>
    <row r="44" spans="1:17" x14ac:dyDescent="0.25">
      <c r="A44" s="245" t="str">
        <f>VLOOKUP($Q44,kopir!$A$1:$M$93,13,0)</f>
        <v>9.3</v>
      </c>
      <c r="B44" s="235">
        <f t="shared" si="1"/>
        <v>0</v>
      </c>
      <c r="C44" s="235">
        <f>VLOOKUP($Q44,kopir!$A$1:$L$90,2,FALSE)</f>
        <v>0</v>
      </c>
      <c r="D44" s="235">
        <f>VLOOKUP($Q44,kopir!$A$1:$L$90,3,FALSE)</f>
        <v>0</v>
      </c>
      <c r="E44" s="235">
        <f>VLOOKUP($Q44,kopir!$A$1:$L$90,4,FALSE)</f>
        <v>0</v>
      </c>
      <c r="F44" s="235"/>
      <c r="G44" s="235">
        <f>IF(VLOOKUP($Q44,kopir!$A$1:$L$90,6,FALSE)&gt;0,VLOOKUP($Q44,kopir!$A$1:$L$90,6,FALSE),0)</f>
        <v>0</v>
      </c>
      <c r="H44" s="235">
        <f>IF(VLOOKUP($Q44,kopir!$A$1:$L$90,8,FALSE)=N44,O44,0)</f>
        <v>1</v>
      </c>
      <c r="I44" s="235">
        <f>IF(VLOOKUP($Q44,kopir!$A$1:$L$90,9,FALSE)=N44,O44,0)</f>
        <v>1</v>
      </c>
      <c r="J44" s="235">
        <f>IF(VLOOKUP($Q44,kopir!$A$1:$L$90,10,FALSE)=N44,O44,0)</f>
        <v>1</v>
      </c>
      <c r="K44" s="235">
        <f>IF(VLOOKUP($Q44,kopir!$A$1:$L$90,11,FALSE)=N44,O44,0)</f>
        <v>1</v>
      </c>
      <c r="L44" s="235">
        <f>VLOOKUP($Q44,kopir!$A$1:$L$90,12,FALSE)</f>
        <v>0</v>
      </c>
      <c r="M44" s="235">
        <f>IF(G44=0,0,CONCATENATE(VLOOKUP($Q44,kopir!$A$1:$M$93,7,FALSE),G44))</f>
        <v>0</v>
      </c>
      <c r="N44" s="235">
        <f>VLOOKUP($Q44,kopir!$A$1:$M$91,7,FALSE)</f>
        <v>0</v>
      </c>
      <c r="O44" s="252">
        <f t="shared" si="2"/>
        <v>1</v>
      </c>
      <c r="P44" s="252">
        <f t="shared" si="3"/>
        <v>0</v>
      </c>
      <c r="Q44" s="235">
        <v>27</v>
      </c>
    </row>
    <row r="45" spans="1:17" x14ac:dyDescent="0.25">
      <c r="A45" s="245" t="str">
        <f>VLOOKUP($Q45,kopir!$A$1:$M$93,13,0)</f>
        <v>10.1</v>
      </c>
      <c r="B45" s="235">
        <f t="shared" si="1"/>
        <v>1</v>
      </c>
      <c r="C45" s="235">
        <f>VLOOKUP($Q45,kopir!$A$1:$L$90,2,FALSE)</f>
        <v>0</v>
      </c>
      <c r="D45" s="235">
        <f>VLOOKUP($Q45,kopir!$A$1:$L$90,3,FALSE)</f>
        <v>164</v>
      </c>
      <c r="E45" s="235">
        <f>VLOOKUP($Q45,kopir!$A$1:$L$90,4,FALSE)</f>
        <v>0</v>
      </c>
      <c r="F45" s="235"/>
      <c r="G45" s="235">
        <f>IF(VLOOKUP($Q45,kopir!$A$1:$L$90,6,FALSE)&gt;0,VLOOKUP($Q45,kopir!$A$1:$L$90,6,FALSE),0)</f>
        <v>18</v>
      </c>
      <c r="H45" s="235">
        <f>IF(VLOOKUP($Q45,kopir!$A$1:$L$90,8,FALSE)=N45,O45,0)</f>
        <v>1</v>
      </c>
      <c r="I45" s="235">
        <f>IF(VLOOKUP($Q45,kopir!$A$1:$L$90,9,FALSE)=N45,O45,0)</f>
        <v>1</v>
      </c>
      <c r="J45" s="235">
        <f>IF(VLOOKUP($Q45,kopir!$A$1:$L$90,10,FALSE)=N45,O45,0)</f>
        <v>1</v>
      </c>
      <c r="K45" s="235">
        <f>IF(VLOOKUP($Q45,kopir!$A$1:$L$90,11,FALSE)=N45,O45,0)</f>
        <v>1</v>
      </c>
      <c r="L45" s="235">
        <f>VLOOKUP($Q45,kopir!$A$1:$L$90,12,FALSE)</f>
        <v>0</v>
      </c>
      <c r="M45" s="235" t="str">
        <f>IF(G45=0,0,CONCATENATE(VLOOKUP($Q45,kopir!$A$1:$M$93,7,FALSE),G45))</f>
        <v>018</v>
      </c>
      <c r="N45" s="235">
        <f>VLOOKUP($Q45,kopir!$A$1:$M$91,7,FALSE)</f>
        <v>0</v>
      </c>
      <c r="O45" s="252">
        <f t="shared" si="2"/>
        <v>1</v>
      </c>
      <c r="P45" s="252">
        <f t="shared" si="3"/>
        <v>1</v>
      </c>
      <c r="Q45" s="235">
        <v>28</v>
      </c>
    </row>
    <row r="46" spans="1:17" x14ac:dyDescent="0.25">
      <c r="A46" s="245" t="str">
        <f>VLOOKUP($Q46,kopir!$A$1:$M$93,13,0)</f>
        <v>10.2</v>
      </c>
      <c r="B46" s="235">
        <f t="shared" si="1"/>
        <v>1</v>
      </c>
      <c r="C46" s="235">
        <f>VLOOKUP($Q46,kopir!$A$1:$L$90,2,FALSE)</f>
        <v>0</v>
      </c>
      <c r="D46" s="235">
        <f>VLOOKUP($Q46,kopir!$A$1:$L$90,3,FALSE)</f>
        <v>0</v>
      </c>
      <c r="E46" s="235">
        <f>VLOOKUP($Q46,kopir!$A$1:$L$90,4,FALSE)</f>
        <v>0</v>
      </c>
      <c r="F46" s="235"/>
      <c r="G46" s="235">
        <f>IF(VLOOKUP($Q46,kopir!$A$1:$L$90,6,FALSE)&gt;0,VLOOKUP($Q46,kopir!$A$1:$L$90,6,FALSE),0)</f>
        <v>18</v>
      </c>
      <c r="H46" s="235">
        <f>IF(VLOOKUP($Q46,kopir!$A$1:$L$90,8,FALSE)=N46,O46,0)</f>
        <v>1</v>
      </c>
      <c r="I46" s="235">
        <f>IF(VLOOKUP($Q46,kopir!$A$1:$L$90,9,FALSE)=N46,O46,0)</f>
        <v>1</v>
      </c>
      <c r="J46" s="235">
        <f>IF(VLOOKUP($Q46,kopir!$A$1:$L$90,10,FALSE)=N46,O46,0)</f>
        <v>1</v>
      </c>
      <c r="K46" s="235">
        <f>IF(VLOOKUP($Q46,kopir!$A$1:$L$90,11,FALSE)=N46,O46,0)</f>
        <v>1</v>
      </c>
      <c r="L46" s="235">
        <f>VLOOKUP($Q46,kopir!$A$1:$L$90,12,FALSE)</f>
        <v>0</v>
      </c>
      <c r="M46" s="235" t="str">
        <f>IF(G46=0,0,CONCATENATE(VLOOKUP($Q46,kopir!$A$1:$M$93,7,FALSE),G46))</f>
        <v>018</v>
      </c>
      <c r="N46" s="235">
        <f>VLOOKUP($Q46,kopir!$A$1:$M$91,7,FALSE)</f>
        <v>0</v>
      </c>
      <c r="O46" s="252">
        <f t="shared" si="2"/>
        <v>1</v>
      </c>
      <c r="P46" s="252">
        <f t="shared" si="3"/>
        <v>1</v>
      </c>
      <c r="Q46" s="235">
        <v>29</v>
      </c>
    </row>
    <row r="47" spans="1:17" x14ac:dyDescent="0.25">
      <c r="A47" s="245" t="str">
        <f>VLOOKUP($Q47,kopir!$A$1:$M$93,13,0)</f>
        <v>10.3</v>
      </c>
      <c r="B47" s="235">
        <f t="shared" si="1"/>
        <v>0</v>
      </c>
      <c r="C47" s="235">
        <f>VLOOKUP($Q47,kopir!$A$1:$L$90,2,FALSE)</f>
        <v>0</v>
      </c>
      <c r="D47" s="235">
        <f>VLOOKUP($Q47,kopir!$A$1:$L$90,3,FALSE)</f>
        <v>0</v>
      </c>
      <c r="E47" s="235">
        <f>VLOOKUP($Q47,kopir!$A$1:$L$90,4,FALSE)</f>
        <v>0</v>
      </c>
      <c r="F47" s="235"/>
      <c r="G47" s="235">
        <f>IF(VLOOKUP($Q47,kopir!$A$1:$L$90,6,FALSE)&gt;0,VLOOKUP($Q47,kopir!$A$1:$L$90,6,FALSE),0)</f>
        <v>0</v>
      </c>
      <c r="H47" s="235">
        <f>IF(VLOOKUP($Q47,kopir!$A$1:$L$90,8,FALSE)=N47,O47,0)</f>
        <v>1</v>
      </c>
      <c r="I47" s="235">
        <f>IF(VLOOKUP($Q47,kopir!$A$1:$L$90,9,FALSE)=N47,O47,0)</f>
        <v>1</v>
      </c>
      <c r="J47" s="235">
        <f>IF(VLOOKUP($Q47,kopir!$A$1:$L$90,10,FALSE)=N47,O47,0)</f>
        <v>1</v>
      </c>
      <c r="K47" s="235">
        <f>IF(VLOOKUP($Q47,kopir!$A$1:$L$90,11,FALSE)=N47,O47,0)</f>
        <v>1</v>
      </c>
      <c r="L47" s="235">
        <f>VLOOKUP($Q47,kopir!$A$1:$L$90,12,FALSE)</f>
        <v>0</v>
      </c>
      <c r="M47" s="235">
        <f>IF(G47=0,0,CONCATENATE(VLOOKUP($Q47,kopir!$A$1:$M$93,7,FALSE),G47))</f>
        <v>0</v>
      </c>
      <c r="N47" s="235">
        <f>VLOOKUP($Q47,kopir!$A$1:$M$91,7,FALSE)</f>
        <v>0</v>
      </c>
      <c r="O47" s="252">
        <f t="shared" si="2"/>
        <v>1</v>
      </c>
      <c r="P47" s="252">
        <f t="shared" si="3"/>
        <v>0</v>
      </c>
      <c r="Q47" s="235">
        <v>30</v>
      </c>
    </row>
    <row r="48" spans="1:17" x14ac:dyDescent="0.25">
      <c r="A48" s="245" t="str">
        <f>VLOOKUP($Q48,kopir!$A$1:$M$93,13,0)</f>
        <v>11.1</v>
      </c>
      <c r="B48" s="235">
        <f t="shared" si="1"/>
        <v>1</v>
      </c>
      <c r="C48" s="235">
        <f>VLOOKUP($Q48,kopir!$A$1:$L$90,2,FALSE)</f>
        <v>0</v>
      </c>
      <c r="D48" s="235">
        <f>VLOOKUP($Q48,kopir!$A$1:$L$90,3,FALSE)</f>
        <v>164</v>
      </c>
      <c r="E48" s="235">
        <f>VLOOKUP($Q48,kopir!$A$1:$L$90,4,FALSE)</f>
        <v>0</v>
      </c>
      <c r="F48" s="235"/>
      <c r="G48" s="235">
        <f>IF(VLOOKUP($Q48,kopir!$A$1:$L$90,6,FALSE)&gt;0,VLOOKUP($Q48,kopir!$A$1:$L$90,6,FALSE),0)</f>
        <v>18</v>
      </c>
      <c r="H48" s="235">
        <f>IF(VLOOKUP($Q48,kopir!$A$1:$L$90,8,FALSE)=N48,O48,0)</f>
        <v>1</v>
      </c>
      <c r="I48" s="235">
        <f>IF(VLOOKUP($Q48,kopir!$A$1:$L$90,9,FALSE)=N48,O48,0)</f>
        <v>1</v>
      </c>
      <c r="J48" s="235">
        <f>IF(VLOOKUP($Q48,kopir!$A$1:$L$90,10,FALSE)=N48,O48,0)</f>
        <v>1</v>
      </c>
      <c r="K48" s="235">
        <f>IF(VLOOKUP($Q48,kopir!$A$1:$L$90,11,FALSE)=N48,O48,0)</f>
        <v>1</v>
      </c>
      <c r="L48" s="235">
        <f>VLOOKUP($Q48,kopir!$A$1:$L$90,12,FALSE)</f>
        <v>0</v>
      </c>
      <c r="M48" s="235" t="str">
        <f>IF(G48=0,0,CONCATENATE(VLOOKUP($Q48,kopir!$A$1:$M$93,7,FALSE),G48))</f>
        <v>018</v>
      </c>
      <c r="N48" s="235">
        <f>VLOOKUP($Q48,kopir!$A$1:$M$91,7,FALSE)</f>
        <v>0</v>
      </c>
      <c r="O48" s="252">
        <f t="shared" si="2"/>
        <v>1</v>
      </c>
      <c r="P48" s="252">
        <f t="shared" si="3"/>
        <v>1</v>
      </c>
      <c r="Q48" s="235">
        <v>31</v>
      </c>
    </row>
    <row r="49" spans="1:17" x14ac:dyDescent="0.25">
      <c r="A49" s="245" t="str">
        <f>VLOOKUP($Q49,kopir!$A$1:$M$93,13,0)</f>
        <v>11.2</v>
      </c>
      <c r="B49" s="235">
        <f t="shared" si="1"/>
        <v>1</v>
      </c>
      <c r="C49" s="235">
        <f>VLOOKUP($Q49,kopir!$A$1:$L$90,2,FALSE)</f>
        <v>0</v>
      </c>
      <c r="D49" s="235">
        <f>VLOOKUP($Q49,kopir!$A$1:$L$90,3,FALSE)</f>
        <v>0</v>
      </c>
      <c r="E49" s="235">
        <f>VLOOKUP($Q49,kopir!$A$1:$L$90,4,FALSE)</f>
        <v>0</v>
      </c>
      <c r="F49" s="235"/>
      <c r="G49" s="235">
        <f>IF(VLOOKUP($Q49,kopir!$A$1:$L$90,6,FALSE)&gt;0,VLOOKUP($Q49,kopir!$A$1:$L$90,6,FALSE),0)</f>
        <v>18</v>
      </c>
      <c r="H49" s="235">
        <f>IF(VLOOKUP($Q49,kopir!$A$1:$L$90,8,FALSE)=N49,O49,0)</f>
        <v>1</v>
      </c>
      <c r="I49" s="235">
        <f>IF(VLOOKUP($Q49,kopir!$A$1:$L$90,9,FALSE)=N49,O49,0)</f>
        <v>1</v>
      </c>
      <c r="J49" s="235">
        <f>IF(VLOOKUP($Q49,kopir!$A$1:$L$90,10,FALSE)=N49,O49,0)</f>
        <v>1</v>
      </c>
      <c r="K49" s="235">
        <f>IF(VLOOKUP($Q49,kopir!$A$1:$L$90,11,FALSE)=N49,O49,0)</f>
        <v>1</v>
      </c>
      <c r="L49" s="235">
        <f>VLOOKUP($Q49,kopir!$A$1:$L$90,12,FALSE)</f>
        <v>0</v>
      </c>
      <c r="M49" s="235" t="str">
        <f>IF(G49=0,0,CONCATENATE(VLOOKUP($Q49,kopir!$A$1:$M$93,7,FALSE),G49))</f>
        <v>018</v>
      </c>
      <c r="N49" s="235">
        <f>VLOOKUP($Q49,kopir!$A$1:$M$91,7,FALSE)</f>
        <v>0</v>
      </c>
      <c r="O49" s="252">
        <f t="shared" si="2"/>
        <v>1</v>
      </c>
      <c r="P49" s="252">
        <f t="shared" si="3"/>
        <v>1</v>
      </c>
      <c r="Q49" s="235">
        <v>32</v>
      </c>
    </row>
    <row r="50" spans="1:17" x14ac:dyDescent="0.25">
      <c r="A50" s="245" t="str">
        <f>VLOOKUP($Q50,kopir!$A$1:$M$93,13,0)</f>
        <v>11.3</v>
      </c>
      <c r="B50" s="235">
        <f t="shared" si="1"/>
        <v>0</v>
      </c>
      <c r="C50" s="235">
        <f>VLOOKUP($Q50,kopir!$A$1:$L$90,2,FALSE)</f>
        <v>0</v>
      </c>
      <c r="D50" s="235">
        <f>VLOOKUP($Q50,kopir!$A$1:$L$90,3,FALSE)</f>
        <v>0</v>
      </c>
      <c r="E50" s="235">
        <f>VLOOKUP($Q50,kopir!$A$1:$L$90,4,FALSE)</f>
        <v>0</v>
      </c>
      <c r="F50" s="235"/>
      <c r="G50" s="235">
        <f>IF(VLOOKUP($Q50,kopir!$A$1:$L$90,6,FALSE)&gt;0,VLOOKUP($Q50,kopir!$A$1:$L$90,6,FALSE),0)</f>
        <v>0</v>
      </c>
      <c r="H50" s="235">
        <f>IF(VLOOKUP($Q50,kopir!$A$1:$L$90,8,FALSE)=N50,O50,0)</f>
        <v>1</v>
      </c>
      <c r="I50" s="235">
        <f>IF(VLOOKUP($Q50,kopir!$A$1:$L$90,9,FALSE)=N50,O50,0)</f>
        <v>1</v>
      </c>
      <c r="J50" s="235">
        <f>IF(VLOOKUP($Q50,kopir!$A$1:$L$90,10,FALSE)=N50,O50,0)</f>
        <v>1</v>
      </c>
      <c r="K50" s="235">
        <f>IF(VLOOKUP($Q50,kopir!$A$1:$L$90,11,FALSE)=N50,O50,0)</f>
        <v>1</v>
      </c>
      <c r="L50" s="235">
        <f>VLOOKUP($Q50,kopir!$A$1:$L$90,12,FALSE)</f>
        <v>0</v>
      </c>
      <c r="M50" s="235">
        <f>IF(G50=0,0,CONCATENATE(VLOOKUP($Q50,kopir!$A$1:$M$93,7,FALSE),G50))</f>
        <v>0</v>
      </c>
      <c r="N50" s="235">
        <f>VLOOKUP($Q50,kopir!$A$1:$M$91,7,FALSE)</f>
        <v>0</v>
      </c>
      <c r="O50" s="252">
        <f t="shared" si="2"/>
        <v>1</v>
      </c>
      <c r="P50" s="252">
        <f t="shared" si="3"/>
        <v>0</v>
      </c>
      <c r="Q50" s="235">
        <v>33</v>
      </c>
    </row>
    <row r="51" spans="1:17" x14ac:dyDescent="0.25">
      <c r="A51" s="245" t="str">
        <f>VLOOKUP($Q51,kopir!$A$1:$M$93,13,0)</f>
        <v>12.1</v>
      </c>
      <c r="B51" s="235">
        <f t="shared" si="1"/>
        <v>1</v>
      </c>
      <c r="C51" s="235">
        <f>VLOOKUP($Q51,kopir!$A$1:$L$90,2,FALSE)</f>
        <v>0</v>
      </c>
      <c r="D51" s="235">
        <f>VLOOKUP($Q51,kopir!$A$1:$L$90,3,FALSE)</f>
        <v>164</v>
      </c>
      <c r="E51" s="235">
        <f>VLOOKUP($Q51,kopir!$A$1:$L$90,4,FALSE)</f>
        <v>0</v>
      </c>
      <c r="F51" s="235"/>
      <c r="G51" s="235">
        <f>IF(VLOOKUP($Q51,kopir!$A$1:$L$90,6,FALSE)&gt;0,VLOOKUP($Q51,kopir!$A$1:$L$90,6,FALSE),0)</f>
        <v>18</v>
      </c>
      <c r="H51" s="235">
        <f>IF(VLOOKUP($Q51,kopir!$A$1:$L$90,8,FALSE)=N51,O51,0)</f>
        <v>1</v>
      </c>
      <c r="I51" s="235">
        <f>IF(VLOOKUP($Q51,kopir!$A$1:$L$90,9,FALSE)=N51,O51,0)</f>
        <v>1</v>
      </c>
      <c r="J51" s="235">
        <f>IF(VLOOKUP($Q51,kopir!$A$1:$L$90,10,FALSE)=N51,O51,0)</f>
        <v>1</v>
      </c>
      <c r="K51" s="235">
        <f>IF(VLOOKUP($Q51,kopir!$A$1:$L$90,11,FALSE)=N51,O51,0)</f>
        <v>1</v>
      </c>
      <c r="L51" s="235">
        <f>VLOOKUP($Q51,kopir!$A$1:$L$90,12,FALSE)</f>
        <v>0</v>
      </c>
      <c r="M51" s="235" t="str">
        <f>IF(G51=0,0,CONCATENATE(VLOOKUP($Q51,kopir!$A$1:$M$93,7,FALSE),G51))</f>
        <v>018</v>
      </c>
      <c r="N51" s="235">
        <f>VLOOKUP($Q51,kopir!$A$1:$M$91,7,FALSE)</f>
        <v>0</v>
      </c>
      <c r="O51" s="252">
        <f t="shared" si="2"/>
        <v>1</v>
      </c>
      <c r="P51" s="252">
        <f t="shared" si="3"/>
        <v>1</v>
      </c>
      <c r="Q51" s="235">
        <v>34</v>
      </c>
    </row>
    <row r="52" spans="1:17" x14ac:dyDescent="0.25">
      <c r="A52" s="245" t="str">
        <f>VLOOKUP($Q52,kopir!$A$1:$M$93,13,0)</f>
        <v>12.2</v>
      </c>
      <c r="B52" s="235">
        <f t="shared" si="1"/>
        <v>1</v>
      </c>
      <c r="C52" s="235">
        <f>VLOOKUP($Q52,kopir!$A$1:$L$90,2,FALSE)</f>
        <v>0</v>
      </c>
      <c r="D52" s="235">
        <f>VLOOKUP($Q52,kopir!$A$1:$L$90,3,FALSE)</f>
        <v>0</v>
      </c>
      <c r="E52" s="235">
        <f>VLOOKUP($Q52,kopir!$A$1:$L$90,4,FALSE)</f>
        <v>0</v>
      </c>
      <c r="F52" s="235"/>
      <c r="G52" s="235">
        <f>IF(VLOOKUP($Q52,kopir!$A$1:$L$90,6,FALSE)&gt;0,VLOOKUP($Q52,kopir!$A$1:$L$90,6,FALSE),0)</f>
        <v>18</v>
      </c>
      <c r="H52" s="235">
        <f>IF(VLOOKUP($Q52,kopir!$A$1:$L$90,8,FALSE)=N52,O52,0)</f>
        <v>1</v>
      </c>
      <c r="I52" s="235">
        <f>IF(VLOOKUP($Q52,kopir!$A$1:$L$90,9,FALSE)=N52,O52,0)</f>
        <v>1</v>
      </c>
      <c r="J52" s="235">
        <f>IF(VLOOKUP($Q52,kopir!$A$1:$L$90,10,FALSE)=N52,O52,0)</f>
        <v>1</v>
      </c>
      <c r="K52" s="235">
        <f>IF(VLOOKUP($Q52,kopir!$A$1:$L$90,11,FALSE)=N52,O52,0)</f>
        <v>1</v>
      </c>
      <c r="L52" s="235">
        <f>VLOOKUP($Q52,kopir!$A$1:$L$90,12,FALSE)</f>
        <v>0</v>
      </c>
      <c r="M52" s="235" t="str">
        <f>IF(G52=0,0,CONCATENATE(VLOOKUP($Q52,kopir!$A$1:$M$93,7,FALSE),G52))</f>
        <v>018</v>
      </c>
      <c r="N52" s="235">
        <f>VLOOKUP($Q52,kopir!$A$1:$M$91,7,FALSE)</f>
        <v>0</v>
      </c>
      <c r="O52" s="252">
        <f t="shared" si="2"/>
        <v>1</v>
      </c>
      <c r="P52" s="252">
        <f t="shared" si="3"/>
        <v>1</v>
      </c>
      <c r="Q52" s="235">
        <v>35</v>
      </c>
    </row>
    <row r="53" spans="1:17" x14ac:dyDescent="0.25">
      <c r="A53" s="245" t="str">
        <f>VLOOKUP($Q53,kopir!$A$1:$M$93,13,0)</f>
        <v>12.3</v>
      </c>
      <c r="B53" s="235">
        <f t="shared" si="1"/>
        <v>0</v>
      </c>
      <c r="C53" s="235">
        <f>VLOOKUP($Q53,kopir!$A$1:$L$90,2,FALSE)</f>
        <v>0</v>
      </c>
      <c r="D53" s="235">
        <f>VLOOKUP($Q53,kopir!$A$1:$L$90,3,FALSE)</f>
        <v>0</v>
      </c>
      <c r="E53" s="235">
        <f>VLOOKUP($Q53,kopir!$A$1:$L$90,4,FALSE)</f>
        <v>0</v>
      </c>
      <c r="F53" s="235"/>
      <c r="G53" s="235">
        <f>IF(VLOOKUP($Q53,kopir!$A$1:$L$90,6,FALSE)&gt;0,VLOOKUP($Q53,kopir!$A$1:$L$90,6,FALSE),0)</f>
        <v>0</v>
      </c>
      <c r="H53" s="235">
        <f>IF(VLOOKUP($Q53,kopir!$A$1:$L$90,8,FALSE)=N53,O53,0)</f>
        <v>1</v>
      </c>
      <c r="I53" s="235">
        <f>IF(VLOOKUP($Q53,kopir!$A$1:$L$90,9,FALSE)=N53,O53,0)</f>
        <v>1</v>
      </c>
      <c r="J53" s="235">
        <f>IF(VLOOKUP($Q53,kopir!$A$1:$L$90,10,FALSE)=N53,O53,0)</f>
        <v>1</v>
      </c>
      <c r="K53" s="235">
        <f>IF(VLOOKUP($Q53,kopir!$A$1:$L$90,11,FALSE)=N53,O53,0)</f>
        <v>1</v>
      </c>
      <c r="L53" s="235">
        <f>VLOOKUP($Q53,kopir!$A$1:$L$90,12,FALSE)</f>
        <v>0</v>
      </c>
      <c r="M53" s="235">
        <f>IF(G53=0,0,CONCATENATE(VLOOKUP($Q53,kopir!$A$1:$M$93,7,FALSE),G53))</f>
        <v>0</v>
      </c>
      <c r="N53" s="235">
        <f>VLOOKUP($Q53,kopir!$A$1:$M$91,7,FALSE)</f>
        <v>0</v>
      </c>
      <c r="O53" s="252">
        <f t="shared" si="2"/>
        <v>1</v>
      </c>
      <c r="P53" s="252">
        <f t="shared" si="3"/>
        <v>0</v>
      </c>
      <c r="Q53" s="235">
        <v>36</v>
      </c>
    </row>
    <row r="54" spans="1:17" x14ac:dyDescent="0.25">
      <c r="A54" s="245" t="str">
        <f>VLOOKUP($Q54,kopir!$A$1:$M$93,13,0)</f>
        <v>13.1</v>
      </c>
      <c r="B54" s="235">
        <f t="shared" si="1"/>
        <v>1</v>
      </c>
      <c r="C54" s="235">
        <f>VLOOKUP($Q54,kopir!$A$1:$L$90,2,FALSE)</f>
        <v>0</v>
      </c>
      <c r="D54" s="235">
        <f>VLOOKUP($Q54,kopir!$A$1:$L$90,3,FALSE)</f>
        <v>164</v>
      </c>
      <c r="E54" s="235">
        <f>VLOOKUP($Q54,kopir!$A$1:$L$90,4,FALSE)</f>
        <v>0</v>
      </c>
      <c r="F54" s="235"/>
      <c r="G54" s="235">
        <f>IF(VLOOKUP($Q54,kopir!$A$1:$L$90,6,FALSE)&gt;0,VLOOKUP($Q54,kopir!$A$1:$L$90,6,FALSE),0)</f>
        <v>18</v>
      </c>
      <c r="H54" s="235">
        <f>IF(VLOOKUP($Q54,kopir!$A$1:$L$90,8,FALSE)=N54,O54,0)</f>
        <v>1</v>
      </c>
      <c r="I54" s="235">
        <f>IF(VLOOKUP($Q54,kopir!$A$1:$L$90,9,FALSE)=N54,O54,0)</f>
        <v>1</v>
      </c>
      <c r="J54" s="235">
        <f>IF(VLOOKUP($Q54,kopir!$A$1:$L$90,10,FALSE)=N54,O54,0)</f>
        <v>1</v>
      </c>
      <c r="K54" s="235">
        <f>IF(VLOOKUP($Q54,kopir!$A$1:$L$90,11,FALSE)=N54,O54,0)</f>
        <v>1</v>
      </c>
      <c r="L54" s="235">
        <f>VLOOKUP($Q54,kopir!$A$1:$L$90,12,FALSE)</f>
        <v>0</v>
      </c>
      <c r="M54" s="235" t="str">
        <f>IF(G54=0,0,CONCATENATE(VLOOKUP($Q54,kopir!$A$1:$M$93,7,FALSE),G54))</f>
        <v>018</v>
      </c>
      <c r="N54" s="235">
        <f>VLOOKUP($Q54,kopir!$A$1:$M$91,7,FALSE)</f>
        <v>0</v>
      </c>
      <c r="O54" s="252">
        <f t="shared" si="2"/>
        <v>1</v>
      </c>
      <c r="P54" s="252">
        <f t="shared" si="3"/>
        <v>1</v>
      </c>
      <c r="Q54" s="235">
        <v>37</v>
      </c>
    </row>
    <row r="55" spans="1:17" x14ac:dyDescent="0.25">
      <c r="A55" s="245" t="str">
        <f>VLOOKUP($Q55,kopir!$A$1:$M$93,13,0)</f>
        <v>13.2</v>
      </c>
      <c r="B55" s="235">
        <f t="shared" si="1"/>
        <v>1</v>
      </c>
      <c r="C55" s="235">
        <f>VLOOKUP($Q55,kopir!$A$1:$L$90,2,FALSE)</f>
        <v>0</v>
      </c>
      <c r="D55" s="235">
        <f>VLOOKUP($Q55,kopir!$A$1:$L$90,3,FALSE)</f>
        <v>0</v>
      </c>
      <c r="E55" s="235">
        <f>VLOOKUP($Q55,kopir!$A$1:$L$90,4,FALSE)</f>
        <v>0</v>
      </c>
      <c r="F55" s="235"/>
      <c r="G55" s="235">
        <f>IF(VLOOKUP($Q55,kopir!$A$1:$L$90,6,FALSE)&gt;0,VLOOKUP($Q55,kopir!$A$1:$L$90,6,FALSE),0)</f>
        <v>18</v>
      </c>
      <c r="H55" s="235">
        <f>IF(VLOOKUP($Q55,kopir!$A$1:$L$90,8,FALSE)=N55,O55,0)</f>
        <v>1</v>
      </c>
      <c r="I55" s="235">
        <f>IF(VLOOKUP($Q55,kopir!$A$1:$L$90,9,FALSE)=N55,O55,0)</f>
        <v>1</v>
      </c>
      <c r="J55" s="235">
        <f>IF(VLOOKUP($Q55,kopir!$A$1:$L$90,10,FALSE)=N55,O55,0)</f>
        <v>1</v>
      </c>
      <c r="K55" s="235">
        <f>IF(VLOOKUP($Q55,kopir!$A$1:$L$90,11,FALSE)=N55,O55,0)</f>
        <v>1</v>
      </c>
      <c r="L55" s="235">
        <f>VLOOKUP($Q55,kopir!$A$1:$L$90,12,FALSE)</f>
        <v>0</v>
      </c>
      <c r="M55" s="235" t="str">
        <f>IF(G55=0,0,CONCATENATE(VLOOKUP($Q55,kopir!$A$1:$M$93,7,FALSE),G55))</f>
        <v>018</v>
      </c>
      <c r="N55" s="235">
        <f>VLOOKUP($Q55,kopir!$A$1:$M$91,7,FALSE)</f>
        <v>0</v>
      </c>
      <c r="O55" s="252">
        <f t="shared" si="2"/>
        <v>1</v>
      </c>
      <c r="P55" s="252">
        <f t="shared" si="3"/>
        <v>1</v>
      </c>
      <c r="Q55" s="235">
        <v>38</v>
      </c>
    </row>
    <row r="56" spans="1:17" x14ac:dyDescent="0.25">
      <c r="A56" s="245" t="str">
        <f>VLOOKUP($Q56,kopir!$A$1:$M$93,13,0)</f>
        <v>13.3</v>
      </c>
      <c r="B56" s="235">
        <f t="shared" si="1"/>
        <v>0</v>
      </c>
      <c r="C56" s="235">
        <f>VLOOKUP($Q56,kopir!$A$1:$L$90,2,FALSE)</f>
        <v>0</v>
      </c>
      <c r="D56" s="235">
        <f>VLOOKUP($Q56,kopir!$A$1:$L$90,3,FALSE)</f>
        <v>0</v>
      </c>
      <c r="E56" s="235">
        <f>VLOOKUP($Q56,kopir!$A$1:$L$90,4,FALSE)</f>
        <v>0</v>
      </c>
      <c r="F56" s="235"/>
      <c r="G56" s="235">
        <f>IF(VLOOKUP($Q56,kopir!$A$1:$L$90,6,FALSE)&gt;0,VLOOKUP($Q56,kopir!$A$1:$L$90,6,FALSE),0)</f>
        <v>0</v>
      </c>
      <c r="H56" s="235">
        <f>IF(VLOOKUP($Q56,kopir!$A$1:$L$90,8,FALSE)=N56,O56,0)</f>
        <v>1</v>
      </c>
      <c r="I56" s="235">
        <f>IF(VLOOKUP($Q56,kopir!$A$1:$L$90,9,FALSE)=N56,O56,0)</f>
        <v>1</v>
      </c>
      <c r="J56" s="235">
        <f>IF(VLOOKUP($Q56,kopir!$A$1:$L$90,10,FALSE)=N56,O56,0)</f>
        <v>1</v>
      </c>
      <c r="K56" s="235">
        <f>IF(VLOOKUP($Q56,kopir!$A$1:$L$90,11,FALSE)=N56,O56,0)</f>
        <v>1</v>
      </c>
      <c r="L56" s="235">
        <f>VLOOKUP($Q56,kopir!$A$1:$L$90,12,FALSE)</f>
        <v>0</v>
      </c>
      <c r="M56" s="235">
        <f>IF(G56=0,0,CONCATENATE(VLOOKUP($Q56,kopir!$A$1:$M$93,7,FALSE),G56))</f>
        <v>0</v>
      </c>
      <c r="N56" s="235">
        <f>VLOOKUP($Q56,kopir!$A$1:$M$91,7,FALSE)</f>
        <v>0</v>
      </c>
      <c r="O56" s="252">
        <f t="shared" si="2"/>
        <v>1</v>
      </c>
      <c r="P56" s="252">
        <f t="shared" si="3"/>
        <v>0</v>
      </c>
      <c r="Q56" s="235">
        <v>39</v>
      </c>
    </row>
    <row r="57" spans="1:17" x14ac:dyDescent="0.25">
      <c r="A57" s="245" t="str">
        <f>VLOOKUP($Q57,kopir!$A$1:$M$93,13,0)</f>
        <v>14.1</v>
      </c>
      <c r="B57" s="235">
        <f t="shared" si="1"/>
        <v>1</v>
      </c>
      <c r="C57" s="235">
        <f>VLOOKUP($Q57,kopir!$A$1:$L$90,2,FALSE)</f>
        <v>0</v>
      </c>
      <c r="D57" s="235">
        <f>VLOOKUP($Q57,kopir!$A$1:$L$90,3,FALSE)</f>
        <v>164</v>
      </c>
      <c r="E57" s="235">
        <f>VLOOKUP($Q57,kopir!$A$1:$L$90,4,FALSE)</f>
        <v>0</v>
      </c>
      <c r="F57" s="235"/>
      <c r="G57" s="235">
        <f>IF(VLOOKUP($Q57,kopir!$A$1:$L$90,6,FALSE)&gt;0,VLOOKUP($Q57,kopir!$A$1:$L$90,6,FALSE),0)</f>
        <v>18</v>
      </c>
      <c r="H57" s="235">
        <f>IF(VLOOKUP($Q57,kopir!$A$1:$L$90,8,FALSE)=N57,O57,0)</f>
        <v>1</v>
      </c>
      <c r="I57" s="235">
        <f>IF(VLOOKUP($Q57,kopir!$A$1:$L$90,9,FALSE)=N57,O57,0)</f>
        <v>1</v>
      </c>
      <c r="J57" s="235">
        <f>IF(VLOOKUP($Q57,kopir!$A$1:$L$90,10,FALSE)=N57,O57,0)</f>
        <v>1</v>
      </c>
      <c r="K57" s="235">
        <f>IF(VLOOKUP($Q57,kopir!$A$1:$L$90,11,FALSE)=N57,O57,0)</f>
        <v>1</v>
      </c>
      <c r="L57" s="235">
        <f>VLOOKUP($Q57,kopir!$A$1:$L$90,12,FALSE)</f>
        <v>0</v>
      </c>
      <c r="M57" s="235" t="str">
        <f>IF(G57=0,0,CONCATENATE(VLOOKUP($Q57,kopir!$A$1:$M$93,7,FALSE),G57))</f>
        <v>018</v>
      </c>
      <c r="N57" s="235">
        <f>VLOOKUP($Q57,kopir!$A$1:$M$91,7,FALSE)</f>
        <v>0</v>
      </c>
      <c r="O57" s="252">
        <f t="shared" si="2"/>
        <v>1</v>
      </c>
      <c r="P57" s="252">
        <f t="shared" si="3"/>
        <v>1</v>
      </c>
      <c r="Q57" s="235">
        <v>40</v>
      </c>
    </row>
    <row r="58" spans="1:17" x14ac:dyDescent="0.25">
      <c r="A58" s="245" t="str">
        <f>VLOOKUP($Q58,kopir!$A$1:$M$93,13,0)</f>
        <v>14.2</v>
      </c>
      <c r="B58" s="235">
        <f t="shared" si="1"/>
        <v>1</v>
      </c>
      <c r="C58" s="235">
        <f>VLOOKUP($Q58,kopir!$A$1:$L$90,2,FALSE)</f>
        <v>0</v>
      </c>
      <c r="D58" s="235">
        <f>VLOOKUP($Q58,kopir!$A$1:$L$90,3,FALSE)</f>
        <v>0</v>
      </c>
      <c r="E58" s="235">
        <f>VLOOKUP($Q58,kopir!$A$1:$L$90,4,FALSE)</f>
        <v>0</v>
      </c>
      <c r="F58" s="235"/>
      <c r="G58" s="235">
        <f>IF(VLOOKUP($Q58,kopir!$A$1:$L$90,6,FALSE)&gt;0,VLOOKUP($Q58,kopir!$A$1:$L$90,6,FALSE),0)</f>
        <v>18</v>
      </c>
      <c r="H58" s="235">
        <f>IF(VLOOKUP($Q58,kopir!$A$1:$L$90,8,FALSE)=N58,O58,0)</f>
        <v>1</v>
      </c>
      <c r="I58" s="235">
        <f>IF(VLOOKUP($Q58,kopir!$A$1:$L$90,9,FALSE)=N58,O58,0)</f>
        <v>1</v>
      </c>
      <c r="J58" s="235">
        <f>IF(VLOOKUP($Q58,kopir!$A$1:$L$90,10,FALSE)=N58,O58,0)</f>
        <v>1</v>
      </c>
      <c r="K58" s="235">
        <f>IF(VLOOKUP($Q58,kopir!$A$1:$L$90,11,FALSE)=N58,O58,0)</f>
        <v>1</v>
      </c>
      <c r="L58" s="235">
        <f>VLOOKUP($Q58,kopir!$A$1:$L$90,12,FALSE)</f>
        <v>0</v>
      </c>
      <c r="M58" s="235" t="str">
        <f>IF(G58=0,0,CONCATENATE(VLOOKUP($Q58,kopir!$A$1:$M$93,7,FALSE),G58))</f>
        <v>018</v>
      </c>
      <c r="N58" s="235">
        <f>VLOOKUP($Q58,kopir!$A$1:$M$91,7,FALSE)</f>
        <v>0</v>
      </c>
      <c r="O58" s="252">
        <f t="shared" si="2"/>
        <v>1</v>
      </c>
      <c r="P58" s="252">
        <f t="shared" si="3"/>
        <v>1</v>
      </c>
      <c r="Q58" s="235">
        <v>41</v>
      </c>
    </row>
    <row r="59" spans="1:17" x14ac:dyDescent="0.25">
      <c r="A59" s="245" t="str">
        <f>VLOOKUP($Q59,kopir!$A$1:$M$93,13,0)</f>
        <v>14.3</v>
      </c>
      <c r="B59" s="235">
        <f t="shared" si="1"/>
        <v>0</v>
      </c>
      <c r="C59" s="235">
        <f>VLOOKUP($Q59,kopir!$A$1:$L$90,2,FALSE)</f>
        <v>0</v>
      </c>
      <c r="D59" s="235">
        <f>VLOOKUP($Q59,kopir!$A$1:$L$90,3,FALSE)</f>
        <v>0</v>
      </c>
      <c r="E59" s="235">
        <f>VLOOKUP($Q59,kopir!$A$1:$L$90,4,FALSE)</f>
        <v>0</v>
      </c>
      <c r="F59" s="235"/>
      <c r="G59" s="235">
        <f>IF(VLOOKUP($Q59,kopir!$A$1:$L$90,6,FALSE)&gt;0,VLOOKUP($Q59,kopir!$A$1:$L$90,6,FALSE),0)</f>
        <v>0</v>
      </c>
      <c r="H59" s="235">
        <f>IF(VLOOKUP($Q59,kopir!$A$1:$L$90,8,FALSE)=N59,O59,0)</f>
        <v>1</v>
      </c>
      <c r="I59" s="235">
        <f>IF(VLOOKUP($Q59,kopir!$A$1:$L$90,9,FALSE)=N59,O59,0)</f>
        <v>1</v>
      </c>
      <c r="J59" s="235">
        <f>IF(VLOOKUP($Q59,kopir!$A$1:$L$90,10,FALSE)=N59,O59,0)</f>
        <v>1</v>
      </c>
      <c r="K59" s="235">
        <f>IF(VLOOKUP($Q59,kopir!$A$1:$L$90,11,FALSE)=N59,O59,0)</f>
        <v>1</v>
      </c>
      <c r="L59" s="235">
        <f>VLOOKUP($Q59,kopir!$A$1:$L$90,12,FALSE)</f>
        <v>0</v>
      </c>
      <c r="M59" s="235">
        <f>IF(G59=0,0,CONCATENATE(VLOOKUP($Q59,kopir!$A$1:$M$93,7,FALSE),G59))</f>
        <v>0</v>
      </c>
      <c r="N59" s="235">
        <f>VLOOKUP($Q59,kopir!$A$1:$M$91,7,FALSE)</f>
        <v>0</v>
      </c>
      <c r="O59" s="252">
        <f t="shared" si="2"/>
        <v>1</v>
      </c>
      <c r="P59" s="252">
        <f t="shared" si="3"/>
        <v>0</v>
      </c>
      <c r="Q59" s="235">
        <v>42</v>
      </c>
    </row>
    <row r="60" spans="1:17" x14ac:dyDescent="0.25">
      <c r="A60" s="245" t="str">
        <f>VLOOKUP($Q60,kopir!$A$1:$M$93,13,0)</f>
        <v>15.1</v>
      </c>
      <c r="B60" s="235">
        <f t="shared" si="1"/>
        <v>1</v>
      </c>
      <c r="C60" s="235">
        <f>VLOOKUP($Q60,kopir!$A$1:$L$90,2,FALSE)</f>
        <v>0</v>
      </c>
      <c r="D60" s="235">
        <f>VLOOKUP($Q60,kopir!$A$1:$L$90,3,FALSE)</f>
        <v>164</v>
      </c>
      <c r="E60" s="235">
        <f>VLOOKUP($Q60,kopir!$A$1:$L$90,4,FALSE)</f>
        <v>0</v>
      </c>
      <c r="F60" s="235"/>
      <c r="G60" s="235">
        <f>IF(VLOOKUP($Q60,kopir!$A$1:$L$90,6,FALSE)&gt;0,VLOOKUP($Q60,kopir!$A$1:$L$90,6,FALSE),0)</f>
        <v>18</v>
      </c>
      <c r="H60" s="235">
        <f>IF(VLOOKUP($Q60,kopir!$A$1:$L$90,8,FALSE)=N60,O60,0)</f>
        <v>1</v>
      </c>
      <c r="I60" s="235">
        <f>IF(VLOOKUP($Q60,kopir!$A$1:$L$90,9,FALSE)=N60,O60,0)</f>
        <v>1</v>
      </c>
      <c r="J60" s="235">
        <f>IF(VLOOKUP($Q60,kopir!$A$1:$L$90,10,FALSE)=N60,O60,0)</f>
        <v>1</v>
      </c>
      <c r="K60" s="235">
        <f>IF(VLOOKUP($Q60,kopir!$A$1:$L$90,11,FALSE)=N60,O60,0)</f>
        <v>1</v>
      </c>
      <c r="L60" s="235">
        <f>VLOOKUP($Q60,kopir!$A$1:$L$90,12,FALSE)</f>
        <v>0</v>
      </c>
      <c r="M60" s="235" t="str">
        <f>IF(G60=0,0,CONCATENATE(VLOOKUP($Q60,kopir!$A$1:$M$93,7,FALSE),G60))</f>
        <v>018</v>
      </c>
      <c r="N60" s="235">
        <f>VLOOKUP($Q60,kopir!$A$1:$M$91,7,FALSE)</f>
        <v>0</v>
      </c>
      <c r="O60" s="252">
        <f t="shared" si="2"/>
        <v>1</v>
      </c>
      <c r="P60" s="252">
        <f t="shared" si="3"/>
        <v>1</v>
      </c>
      <c r="Q60" s="235">
        <v>43</v>
      </c>
    </row>
    <row r="61" spans="1:17" x14ac:dyDescent="0.25">
      <c r="A61" s="245" t="str">
        <f>VLOOKUP($Q61,kopir!$A$1:$M$93,13,0)</f>
        <v>15.2</v>
      </c>
      <c r="B61" s="235">
        <f t="shared" si="1"/>
        <v>1</v>
      </c>
      <c r="C61" s="235">
        <f>VLOOKUP($Q61,kopir!$A$1:$L$90,2,FALSE)</f>
        <v>0</v>
      </c>
      <c r="D61" s="235">
        <f>VLOOKUP($Q61,kopir!$A$1:$L$90,3,FALSE)</f>
        <v>0</v>
      </c>
      <c r="E61" s="235">
        <f>VLOOKUP($Q61,kopir!$A$1:$L$90,4,FALSE)</f>
        <v>0</v>
      </c>
      <c r="F61" s="235"/>
      <c r="G61" s="235">
        <f>IF(VLOOKUP($Q61,kopir!$A$1:$L$90,6,FALSE)&gt;0,VLOOKUP($Q61,kopir!$A$1:$L$90,6,FALSE),0)</f>
        <v>18</v>
      </c>
      <c r="H61" s="235">
        <f>IF(VLOOKUP($Q61,kopir!$A$1:$L$90,8,FALSE)=N61,O61,0)</f>
        <v>1</v>
      </c>
      <c r="I61" s="235">
        <f>IF(VLOOKUP($Q61,kopir!$A$1:$L$90,9,FALSE)=N61,O61,0)</f>
        <v>1</v>
      </c>
      <c r="J61" s="235">
        <f>IF(VLOOKUP($Q61,kopir!$A$1:$L$90,10,FALSE)=N61,O61,0)</f>
        <v>1</v>
      </c>
      <c r="K61" s="235">
        <f>IF(VLOOKUP($Q61,kopir!$A$1:$L$90,11,FALSE)=N61,O61,0)</f>
        <v>1</v>
      </c>
      <c r="L61" s="235">
        <f>VLOOKUP($Q61,kopir!$A$1:$L$90,12,FALSE)</f>
        <v>0</v>
      </c>
      <c r="M61" s="235" t="str">
        <f>IF(G61=0,0,CONCATENATE(VLOOKUP($Q61,kopir!$A$1:$M$93,7,FALSE),G61))</f>
        <v>018</v>
      </c>
      <c r="N61" s="235">
        <f>VLOOKUP($Q61,kopir!$A$1:$M$91,7,FALSE)</f>
        <v>0</v>
      </c>
      <c r="O61" s="252">
        <f t="shared" si="2"/>
        <v>1</v>
      </c>
      <c r="P61" s="252">
        <f t="shared" si="3"/>
        <v>1</v>
      </c>
      <c r="Q61" s="235">
        <v>44</v>
      </c>
    </row>
    <row r="62" spans="1:17" x14ac:dyDescent="0.25">
      <c r="A62" s="245" t="str">
        <f>VLOOKUP($Q62,kopir!$A$1:$M$93,13,0)</f>
        <v>15.3</v>
      </c>
      <c r="B62" s="235">
        <f t="shared" si="1"/>
        <v>0</v>
      </c>
      <c r="C62" s="235">
        <f>VLOOKUP($Q62,kopir!$A$1:$L$90,2,FALSE)</f>
        <v>0</v>
      </c>
      <c r="D62" s="235">
        <f>VLOOKUP($Q62,kopir!$A$1:$L$90,3,FALSE)</f>
        <v>0</v>
      </c>
      <c r="E62" s="235">
        <f>VLOOKUP($Q62,kopir!$A$1:$L$90,4,FALSE)</f>
        <v>0</v>
      </c>
      <c r="F62" s="235"/>
      <c r="G62" s="235">
        <f>IF(VLOOKUP($Q62,kopir!$A$1:$L$90,6,FALSE)&gt;0,VLOOKUP($Q62,kopir!$A$1:$L$90,6,FALSE),0)</f>
        <v>0</v>
      </c>
      <c r="H62" s="235">
        <f>IF(VLOOKUP($Q62,kopir!$A$1:$L$90,8,FALSE)=N62,O62,0)</f>
        <v>1</v>
      </c>
      <c r="I62" s="235">
        <f>IF(VLOOKUP($Q62,kopir!$A$1:$L$90,9,FALSE)=N62,O62,0)</f>
        <v>1</v>
      </c>
      <c r="J62" s="235">
        <f>IF(VLOOKUP($Q62,kopir!$A$1:$L$90,10,FALSE)=N62,O62,0)</f>
        <v>1</v>
      </c>
      <c r="K62" s="235">
        <f>IF(VLOOKUP($Q62,kopir!$A$1:$L$90,11,FALSE)=N62,O62,0)</f>
        <v>1</v>
      </c>
      <c r="L62" s="235">
        <f>VLOOKUP($Q62,kopir!$A$1:$L$90,12,FALSE)</f>
        <v>0</v>
      </c>
      <c r="M62" s="235">
        <f>IF(G62=0,0,CONCATENATE(VLOOKUP($Q62,kopir!$A$1:$M$93,7,FALSE),G62))</f>
        <v>0</v>
      </c>
      <c r="N62" s="235">
        <f>VLOOKUP($Q62,kopir!$A$1:$M$91,7,FALSE)</f>
        <v>0</v>
      </c>
      <c r="O62" s="252">
        <f t="shared" si="2"/>
        <v>1</v>
      </c>
      <c r="P62" s="252">
        <f t="shared" si="3"/>
        <v>0</v>
      </c>
      <c r="Q62" s="235">
        <v>45</v>
      </c>
    </row>
    <row r="63" spans="1:17" x14ac:dyDescent="0.25">
      <c r="A63" s="245" t="str">
        <f>VLOOKUP($Q63,kopir!$A$1:$M$93,13,0)</f>
        <v>16.1</v>
      </c>
      <c r="B63" s="235">
        <f t="shared" si="1"/>
        <v>1</v>
      </c>
      <c r="C63" s="235">
        <f>VLOOKUP($Q63,kopir!$A$1:$L$90,2,FALSE)</f>
        <v>0</v>
      </c>
      <c r="D63" s="235">
        <f>VLOOKUP($Q63,kopir!$A$1:$L$90,3,FALSE)</f>
        <v>164</v>
      </c>
      <c r="E63" s="235">
        <f>VLOOKUP($Q63,kopir!$A$1:$L$90,4,FALSE)</f>
        <v>0</v>
      </c>
      <c r="F63" s="235"/>
      <c r="G63" s="235">
        <f>IF(VLOOKUP($Q63,kopir!$A$1:$L$90,6,FALSE)&gt;0,VLOOKUP($Q63,kopir!$A$1:$L$90,6,FALSE),0)</f>
        <v>18</v>
      </c>
      <c r="H63" s="235">
        <f>IF(VLOOKUP($Q63,kopir!$A$1:$L$90,8,FALSE)=N63,O63,0)</f>
        <v>1</v>
      </c>
      <c r="I63" s="235">
        <f>IF(VLOOKUP($Q63,kopir!$A$1:$L$90,9,FALSE)=N63,O63,0)</f>
        <v>1</v>
      </c>
      <c r="J63" s="235">
        <f>IF(VLOOKUP($Q63,kopir!$A$1:$L$90,10,FALSE)=N63,O63,0)</f>
        <v>1</v>
      </c>
      <c r="K63" s="235">
        <f>IF(VLOOKUP($Q63,kopir!$A$1:$L$90,11,FALSE)=N63,O63,0)</f>
        <v>1</v>
      </c>
      <c r="L63" s="235">
        <f>VLOOKUP($Q63,kopir!$A$1:$L$90,12,FALSE)</f>
        <v>0</v>
      </c>
      <c r="M63" s="235" t="str">
        <f>IF(G63=0,0,CONCATENATE(VLOOKUP($Q63,kopir!$A$1:$M$93,7,FALSE),G63))</f>
        <v>018</v>
      </c>
      <c r="N63" s="235">
        <f>VLOOKUP($Q63,kopir!$A$1:$M$91,7,FALSE)</f>
        <v>0</v>
      </c>
      <c r="O63" s="252">
        <f t="shared" si="2"/>
        <v>1</v>
      </c>
      <c r="P63" s="252">
        <f t="shared" si="3"/>
        <v>1</v>
      </c>
      <c r="Q63" s="235">
        <v>46</v>
      </c>
    </row>
    <row r="64" spans="1:17" x14ac:dyDescent="0.25">
      <c r="A64" s="245" t="str">
        <f>VLOOKUP($Q64,kopir!$A$1:$M$93,13,0)</f>
        <v>16.2</v>
      </c>
      <c r="B64" s="235">
        <f t="shared" si="1"/>
        <v>1</v>
      </c>
      <c r="C64" s="235">
        <f>VLOOKUP($Q64,kopir!$A$1:$L$90,2,FALSE)</f>
        <v>0</v>
      </c>
      <c r="D64" s="235">
        <f>VLOOKUP($Q64,kopir!$A$1:$L$90,3,FALSE)</f>
        <v>0</v>
      </c>
      <c r="E64" s="235">
        <f>VLOOKUP($Q64,kopir!$A$1:$L$90,4,FALSE)</f>
        <v>0</v>
      </c>
      <c r="F64" s="235"/>
      <c r="G64" s="235">
        <f>IF(VLOOKUP($Q64,kopir!$A$1:$L$90,6,FALSE)&gt;0,VLOOKUP($Q64,kopir!$A$1:$L$90,6,FALSE),0)</f>
        <v>18</v>
      </c>
      <c r="H64" s="235">
        <f>IF(VLOOKUP($Q64,kopir!$A$1:$L$90,8,FALSE)=N64,O64,0)</f>
        <v>1</v>
      </c>
      <c r="I64" s="235">
        <f>IF(VLOOKUP($Q64,kopir!$A$1:$L$90,9,FALSE)=N64,O64,0)</f>
        <v>1</v>
      </c>
      <c r="J64" s="235">
        <f>IF(VLOOKUP($Q64,kopir!$A$1:$L$90,10,FALSE)=N64,O64,0)</f>
        <v>1</v>
      </c>
      <c r="K64" s="235">
        <f>IF(VLOOKUP($Q64,kopir!$A$1:$L$90,11,FALSE)=N64,O64,0)</f>
        <v>1</v>
      </c>
      <c r="L64" s="235">
        <f>VLOOKUP($Q64,kopir!$A$1:$L$90,12,FALSE)</f>
        <v>0</v>
      </c>
      <c r="M64" s="235" t="str">
        <f>IF(G64=0,0,CONCATENATE(VLOOKUP($Q64,kopir!$A$1:$M$93,7,FALSE),G64))</f>
        <v>018</v>
      </c>
      <c r="N64" s="235">
        <f>VLOOKUP($Q64,kopir!$A$1:$M$91,7,FALSE)</f>
        <v>0</v>
      </c>
      <c r="O64" s="252">
        <f t="shared" si="2"/>
        <v>1</v>
      </c>
      <c r="P64" s="252">
        <f t="shared" si="3"/>
        <v>1</v>
      </c>
      <c r="Q64" s="235">
        <v>47</v>
      </c>
    </row>
    <row r="65" spans="1:17" x14ac:dyDescent="0.25">
      <c r="A65" s="245" t="str">
        <f>VLOOKUP($Q65,kopir!$A$1:$M$93,13,0)</f>
        <v>16.3</v>
      </c>
      <c r="B65" s="235">
        <f t="shared" si="1"/>
        <v>0</v>
      </c>
      <c r="C65" s="235">
        <f>VLOOKUP($Q65,kopir!$A$1:$L$90,2,FALSE)</f>
        <v>0</v>
      </c>
      <c r="D65" s="235">
        <f>VLOOKUP($Q65,kopir!$A$1:$L$90,3,FALSE)</f>
        <v>0</v>
      </c>
      <c r="E65" s="235">
        <f>VLOOKUP($Q65,kopir!$A$1:$L$90,4,FALSE)</f>
        <v>0</v>
      </c>
      <c r="F65" s="235"/>
      <c r="G65" s="235">
        <f>IF(VLOOKUP($Q65,kopir!$A$1:$L$90,6,FALSE)&gt;0,VLOOKUP($Q65,kopir!$A$1:$L$90,6,FALSE),0)</f>
        <v>0</v>
      </c>
      <c r="H65" s="235">
        <f>IF(VLOOKUP($Q65,kopir!$A$1:$L$90,8,FALSE)=N65,O65,0)</f>
        <v>1</v>
      </c>
      <c r="I65" s="235">
        <f>IF(VLOOKUP($Q65,kopir!$A$1:$L$90,9,FALSE)=N65,O65,0)</f>
        <v>1</v>
      </c>
      <c r="J65" s="235">
        <f>IF(VLOOKUP($Q65,kopir!$A$1:$L$90,10,FALSE)=N65,O65,0)</f>
        <v>1</v>
      </c>
      <c r="K65" s="235">
        <f>IF(VLOOKUP($Q65,kopir!$A$1:$L$90,11,FALSE)=N65,O65,0)</f>
        <v>1</v>
      </c>
      <c r="L65" s="235">
        <f>VLOOKUP($Q65,kopir!$A$1:$L$90,12,FALSE)</f>
        <v>0</v>
      </c>
      <c r="M65" s="235">
        <f>IF(G65=0,0,CONCATENATE(VLOOKUP($Q65,kopir!$A$1:$M$93,7,FALSE),G65))</f>
        <v>0</v>
      </c>
      <c r="N65" s="235">
        <f>VLOOKUP($Q65,kopir!$A$1:$M$91,7,FALSE)</f>
        <v>0</v>
      </c>
      <c r="O65" s="252">
        <f t="shared" si="2"/>
        <v>1</v>
      </c>
      <c r="P65" s="252">
        <f t="shared" si="3"/>
        <v>0</v>
      </c>
      <c r="Q65" s="235">
        <v>48</v>
      </c>
    </row>
    <row r="66" spans="1:17" x14ac:dyDescent="0.25">
      <c r="A66" s="245" t="str">
        <f>VLOOKUP($Q66,kopir!$A$1:$M$93,13,0)</f>
        <v>17.1</v>
      </c>
      <c r="B66" s="235">
        <f t="shared" si="1"/>
        <v>1</v>
      </c>
      <c r="C66" s="235">
        <f>VLOOKUP($Q66,kopir!$A$1:$L$90,2,FALSE)</f>
        <v>0</v>
      </c>
      <c r="D66" s="235">
        <f>VLOOKUP($Q66,kopir!$A$1:$L$90,3,FALSE)</f>
        <v>164</v>
      </c>
      <c r="E66" s="235">
        <f>VLOOKUP($Q66,kopir!$A$1:$L$90,4,FALSE)</f>
        <v>0</v>
      </c>
      <c r="F66" s="235"/>
      <c r="G66" s="235">
        <f>IF(VLOOKUP($Q66,kopir!$A$1:$L$90,6,FALSE)&gt;0,VLOOKUP($Q66,kopir!$A$1:$L$90,6,FALSE),0)</f>
        <v>18</v>
      </c>
      <c r="H66" s="235">
        <f>IF(VLOOKUP($Q66,kopir!$A$1:$L$90,8,FALSE)=N66,O66,0)</f>
        <v>1</v>
      </c>
      <c r="I66" s="235">
        <f>IF(VLOOKUP($Q66,kopir!$A$1:$L$90,9,FALSE)=N66,O66,0)</f>
        <v>1</v>
      </c>
      <c r="J66" s="235">
        <f>IF(VLOOKUP($Q66,kopir!$A$1:$L$90,10,FALSE)=N66,O66,0)</f>
        <v>1</v>
      </c>
      <c r="K66" s="235">
        <f>IF(VLOOKUP($Q66,kopir!$A$1:$L$90,11,FALSE)=N66,O66,0)</f>
        <v>1</v>
      </c>
      <c r="L66" s="235">
        <f>VLOOKUP($Q66,kopir!$A$1:$L$90,12,FALSE)</f>
        <v>0</v>
      </c>
      <c r="M66" s="235" t="str">
        <f>IF(G66=0,0,CONCATENATE(VLOOKUP($Q66,kopir!$A$1:$M$93,7,FALSE),G66))</f>
        <v>018</v>
      </c>
      <c r="N66" s="235">
        <f>VLOOKUP($Q66,kopir!$A$1:$M$91,7,FALSE)</f>
        <v>0</v>
      </c>
      <c r="O66" s="252">
        <f t="shared" si="2"/>
        <v>1</v>
      </c>
      <c r="P66" s="252">
        <f t="shared" si="3"/>
        <v>1</v>
      </c>
      <c r="Q66" s="235">
        <v>49</v>
      </c>
    </row>
    <row r="67" spans="1:17" x14ac:dyDescent="0.25">
      <c r="A67" s="245" t="str">
        <f>VLOOKUP($Q67,kopir!$A$1:$M$93,13,0)</f>
        <v>17.2</v>
      </c>
      <c r="B67" s="235">
        <f t="shared" si="1"/>
        <v>1</v>
      </c>
      <c r="C67" s="235">
        <f>VLOOKUP($Q67,kopir!$A$1:$L$90,2,FALSE)</f>
        <v>0</v>
      </c>
      <c r="D67" s="235">
        <f>VLOOKUP($Q67,kopir!$A$1:$L$90,3,FALSE)</f>
        <v>0</v>
      </c>
      <c r="E67" s="235">
        <f>VLOOKUP($Q67,kopir!$A$1:$L$90,4,FALSE)</f>
        <v>0</v>
      </c>
      <c r="F67" s="235"/>
      <c r="G67" s="235">
        <f>IF(VLOOKUP($Q67,kopir!$A$1:$L$90,6,FALSE)&gt;0,VLOOKUP($Q67,kopir!$A$1:$L$90,6,FALSE),0)</f>
        <v>18</v>
      </c>
      <c r="H67" s="235">
        <f>IF(VLOOKUP($Q67,kopir!$A$1:$L$90,8,FALSE)=N67,O67,0)</f>
        <v>1</v>
      </c>
      <c r="I67" s="235">
        <f>IF(VLOOKUP($Q67,kopir!$A$1:$L$90,9,FALSE)=N67,O67,0)</f>
        <v>1</v>
      </c>
      <c r="J67" s="235">
        <f>IF(VLOOKUP($Q67,kopir!$A$1:$L$90,10,FALSE)=N67,O67,0)</f>
        <v>1</v>
      </c>
      <c r="K67" s="235">
        <f>IF(VLOOKUP($Q67,kopir!$A$1:$L$90,11,FALSE)=N67,O67,0)</f>
        <v>1</v>
      </c>
      <c r="L67" s="235">
        <f>VLOOKUP($Q67,kopir!$A$1:$L$90,12,FALSE)</f>
        <v>0</v>
      </c>
      <c r="M67" s="235" t="str">
        <f>IF(G67=0,0,CONCATENATE(VLOOKUP($Q67,kopir!$A$1:$M$93,7,FALSE),G67))</f>
        <v>018</v>
      </c>
      <c r="N67" s="235">
        <f>VLOOKUP($Q67,kopir!$A$1:$M$91,7,FALSE)</f>
        <v>0</v>
      </c>
      <c r="O67" s="252">
        <f t="shared" si="2"/>
        <v>1</v>
      </c>
      <c r="P67" s="252">
        <f t="shared" si="3"/>
        <v>1</v>
      </c>
      <c r="Q67" s="235">
        <v>50</v>
      </c>
    </row>
    <row r="68" spans="1:17" x14ac:dyDescent="0.25">
      <c r="A68" s="245" t="str">
        <f>VLOOKUP($Q68,kopir!$A$1:$M$93,13,0)</f>
        <v>17.3</v>
      </c>
      <c r="B68" s="235">
        <f t="shared" si="1"/>
        <v>0</v>
      </c>
      <c r="C68" s="235">
        <f>VLOOKUP($Q68,kopir!$A$1:$L$90,2,FALSE)</f>
        <v>0</v>
      </c>
      <c r="D68" s="235">
        <f>VLOOKUP($Q68,kopir!$A$1:$L$90,3,FALSE)</f>
        <v>0</v>
      </c>
      <c r="E68" s="235">
        <f>VLOOKUP($Q68,kopir!$A$1:$L$90,4,FALSE)</f>
        <v>0</v>
      </c>
      <c r="F68" s="235"/>
      <c r="G68" s="235">
        <f>IF(VLOOKUP($Q68,kopir!$A$1:$L$90,6,FALSE)&gt;0,VLOOKUP($Q68,kopir!$A$1:$L$90,6,FALSE),0)</f>
        <v>0</v>
      </c>
      <c r="H68" s="235">
        <f>IF(VLOOKUP($Q68,kopir!$A$1:$L$90,8,FALSE)=N68,O68,0)</f>
        <v>1</v>
      </c>
      <c r="I68" s="235">
        <f>IF(VLOOKUP($Q68,kopir!$A$1:$L$90,9,FALSE)=N68,O68,0)</f>
        <v>1</v>
      </c>
      <c r="J68" s="235">
        <f>IF(VLOOKUP($Q68,kopir!$A$1:$L$90,10,FALSE)=N68,O68,0)</f>
        <v>1</v>
      </c>
      <c r="K68" s="235">
        <f>IF(VLOOKUP($Q68,kopir!$A$1:$L$90,11,FALSE)=N68,O68,0)</f>
        <v>1</v>
      </c>
      <c r="L68" s="235">
        <f>VLOOKUP($Q68,kopir!$A$1:$L$90,12,FALSE)</f>
        <v>0</v>
      </c>
      <c r="M68" s="235">
        <f>IF(G68=0,0,CONCATENATE(VLOOKUP($Q68,kopir!$A$1:$M$93,7,FALSE),G68))</f>
        <v>0</v>
      </c>
      <c r="N68" s="235">
        <f>VLOOKUP($Q68,kopir!$A$1:$M$91,7,FALSE)</f>
        <v>0</v>
      </c>
      <c r="O68" s="252">
        <f t="shared" si="2"/>
        <v>1</v>
      </c>
      <c r="P68" s="252">
        <f t="shared" si="3"/>
        <v>0</v>
      </c>
      <c r="Q68" s="235">
        <v>51</v>
      </c>
    </row>
    <row r="69" spans="1:17" x14ac:dyDescent="0.25">
      <c r="A69" s="245" t="str">
        <f>VLOOKUP($Q69,kopir!$A$1:$M$93,13,0)</f>
        <v>18.1</v>
      </c>
      <c r="B69" s="235">
        <f t="shared" si="1"/>
        <v>1</v>
      </c>
      <c r="C69" s="235">
        <f>VLOOKUP($Q69,kopir!$A$1:$L$90,2,FALSE)</f>
        <v>0</v>
      </c>
      <c r="D69" s="235">
        <f>VLOOKUP($Q69,kopir!$A$1:$L$90,3,FALSE)</f>
        <v>164</v>
      </c>
      <c r="E69" s="235">
        <f>VLOOKUP($Q69,kopir!$A$1:$L$90,4,FALSE)</f>
        <v>0</v>
      </c>
      <c r="F69" s="235"/>
      <c r="G69" s="235">
        <f>IF(VLOOKUP($Q69,kopir!$A$1:$L$90,6,FALSE)&gt;0,VLOOKUP($Q69,kopir!$A$1:$L$90,6,FALSE),0)</f>
        <v>18</v>
      </c>
      <c r="H69" s="235">
        <f>IF(VLOOKUP($Q69,kopir!$A$1:$L$90,8,FALSE)=N69,O69,0)</f>
        <v>1</v>
      </c>
      <c r="I69" s="235">
        <f>IF(VLOOKUP($Q69,kopir!$A$1:$L$90,9,FALSE)=N69,O69,0)</f>
        <v>1</v>
      </c>
      <c r="J69" s="235">
        <f>IF(VLOOKUP($Q69,kopir!$A$1:$L$90,10,FALSE)=N69,O69,0)</f>
        <v>1</v>
      </c>
      <c r="K69" s="235">
        <f>IF(VLOOKUP($Q69,kopir!$A$1:$L$90,11,FALSE)=N69,O69,0)</f>
        <v>1</v>
      </c>
      <c r="L69" s="235">
        <f>VLOOKUP($Q69,kopir!$A$1:$L$90,12,FALSE)</f>
        <v>0</v>
      </c>
      <c r="M69" s="235" t="str">
        <f>IF(G69=0,0,CONCATENATE(VLOOKUP($Q69,kopir!$A$1:$M$93,7,FALSE),G69))</f>
        <v>018</v>
      </c>
      <c r="N69" s="235">
        <f>VLOOKUP($Q69,kopir!$A$1:$M$91,7,FALSE)</f>
        <v>0</v>
      </c>
      <c r="O69" s="252">
        <f t="shared" si="2"/>
        <v>1</v>
      </c>
      <c r="P69" s="252">
        <f t="shared" si="3"/>
        <v>1</v>
      </c>
      <c r="Q69" s="235">
        <v>52</v>
      </c>
    </row>
    <row r="70" spans="1:17" x14ac:dyDescent="0.25">
      <c r="A70" s="245" t="str">
        <f>VLOOKUP($Q70,kopir!$A$1:$M$93,13,0)</f>
        <v>18.2</v>
      </c>
      <c r="B70" s="235">
        <f t="shared" si="1"/>
        <v>1</v>
      </c>
      <c r="C70" s="235">
        <f>VLOOKUP($Q70,kopir!$A$1:$L$90,2,FALSE)</f>
        <v>0</v>
      </c>
      <c r="D70" s="235">
        <f>VLOOKUP($Q70,kopir!$A$1:$L$90,3,FALSE)</f>
        <v>0</v>
      </c>
      <c r="E70" s="235">
        <f>VLOOKUP($Q70,kopir!$A$1:$L$90,4,FALSE)</f>
        <v>0</v>
      </c>
      <c r="F70" s="235"/>
      <c r="G70" s="235">
        <f>IF(VLOOKUP($Q70,kopir!$A$1:$L$90,6,FALSE)&gt;0,VLOOKUP($Q70,kopir!$A$1:$L$90,6,FALSE),0)</f>
        <v>18</v>
      </c>
      <c r="H70" s="235">
        <f>IF(VLOOKUP($Q70,kopir!$A$1:$L$90,8,FALSE)=N70,O70,0)</f>
        <v>1</v>
      </c>
      <c r="I70" s="235">
        <f>IF(VLOOKUP($Q70,kopir!$A$1:$L$90,9,FALSE)=N70,O70,0)</f>
        <v>1</v>
      </c>
      <c r="J70" s="235">
        <f>IF(VLOOKUP($Q70,kopir!$A$1:$L$90,10,FALSE)=N70,O70,0)</f>
        <v>1</v>
      </c>
      <c r="K70" s="235">
        <f>IF(VLOOKUP($Q70,kopir!$A$1:$L$90,11,FALSE)=N70,O70,0)</f>
        <v>1</v>
      </c>
      <c r="L70" s="235">
        <f>VLOOKUP($Q70,kopir!$A$1:$L$90,12,FALSE)</f>
        <v>0</v>
      </c>
      <c r="M70" s="235" t="str">
        <f>IF(G70=0,0,CONCATENATE(VLOOKUP($Q70,kopir!$A$1:$M$93,7,FALSE),G70))</f>
        <v>018</v>
      </c>
      <c r="N70" s="235">
        <f>VLOOKUP($Q70,kopir!$A$1:$M$91,7,FALSE)</f>
        <v>0</v>
      </c>
      <c r="O70" s="252">
        <f t="shared" si="2"/>
        <v>1</v>
      </c>
      <c r="P70" s="252">
        <f t="shared" si="3"/>
        <v>1</v>
      </c>
      <c r="Q70" s="235">
        <v>53</v>
      </c>
    </row>
    <row r="71" spans="1:17" x14ac:dyDescent="0.25">
      <c r="A71" s="245" t="str">
        <f>VLOOKUP($Q71,kopir!$A$1:$M$93,13,0)</f>
        <v>18.3</v>
      </c>
      <c r="B71" s="235">
        <f t="shared" si="1"/>
        <v>0</v>
      </c>
      <c r="C71" s="235">
        <f>VLOOKUP($Q71,kopir!$A$1:$L$90,2,FALSE)</f>
        <v>0</v>
      </c>
      <c r="D71" s="235">
        <f>VLOOKUP($Q71,kopir!$A$1:$L$90,3,FALSE)</f>
        <v>0</v>
      </c>
      <c r="E71" s="235">
        <f>VLOOKUP($Q71,kopir!$A$1:$L$90,4,FALSE)</f>
        <v>0</v>
      </c>
      <c r="F71" s="235"/>
      <c r="G71" s="235">
        <f>IF(VLOOKUP($Q71,kopir!$A$1:$L$90,6,FALSE)&gt;0,VLOOKUP($Q71,kopir!$A$1:$L$90,6,FALSE),0)</f>
        <v>0</v>
      </c>
      <c r="H71" s="235">
        <f>IF(VLOOKUP($Q71,kopir!$A$1:$L$90,8,FALSE)=N71,O71,0)</f>
        <v>1</v>
      </c>
      <c r="I71" s="235">
        <f>IF(VLOOKUP($Q71,kopir!$A$1:$L$90,9,FALSE)=N71,O71,0)</f>
        <v>1</v>
      </c>
      <c r="J71" s="235">
        <f>IF(VLOOKUP($Q71,kopir!$A$1:$L$90,10,FALSE)=N71,O71,0)</f>
        <v>1</v>
      </c>
      <c r="K71" s="235">
        <f>IF(VLOOKUP($Q71,kopir!$A$1:$L$90,11,FALSE)=N71,O71,0)</f>
        <v>1</v>
      </c>
      <c r="L71" s="235">
        <f>VLOOKUP($Q71,kopir!$A$1:$L$90,12,FALSE)</f>
        <v>0</v>
      </c>
      <c r="M71" s="235">
        <f>IF(G71=0,0,CONCATENATE(VLOOKUP($Q71,kopir!$A$1:$M$93,7,FALSE),G71))</f>
        <v>0</v>
      </c>
      <c r="N71" s="235">
        <f>VLOOKUP($Q71,kopir!$A$1:$M$91,7,FALSE)</f>
        <v>0</v>
      </c>
      <c r="O71" s="252">
        <f t="shared" si="2"/>
        <v>1</v>
      </c>
      <c r="P71" s="252">
        <f t="shared" si="3"/>
        <v>0</v>
      </c>
      <c r="Q71" s="235">
        <v>54</v>
      </c>
    </row>
    <row r="72" spans="1:17" x14ac:dyDescent="0.25">
      <c r="A72" s="245" t="str">
        <f>VLOOKUP($Q72,kopir!$A$1:$M$93,13,0)</f>
        <v>19.1</v>
      </c>
      <c r="B72" s="235">
        <f t="shared" si="1"/>
        <v>1</v>
      </c>
      <c r="C72" s="235">
        <f>VLOOKUP($Q72,kopir!$A$1:$L$90,2,FALSE)</f>
        <v>0</v>
      </c>
      <c r="D72" s="235">
        <f>VLOOKUP($Q72,kopir!$A$1:$L$90,3,FALSE)</f>
        <v>164</v>
      </c>
      <c r="E72" s="235">
        <f>VLOOKUP($Q72,kopir!$A$1:$L$90,4,FALSE)</f>
        <v>0</v>
      </c>
      <c r="F72" s="235"/>
      <c r="G72" s="235">
        <f>IF(VLOOKUP($Q72,kopir!$A$1:$L$90,6,FALSE)&gt;0,VLOOKUP($Q72,kopir!$A$1:$L$90,6,FALSE),0)</f>
        <v>18</v>
      </c>
      <c r="H72" s="235">
        <f>IF(VLOOKUP($Q72,kopir!$A$1:$L$90,8,FALSE)=N72,O72,0)</f>
        <v>1</v>
      </c>
      <c r="I72" s="235">
        <f>IF(VLOOKUP($Q72,kopir!$A$1:$L$90,9,FALSE)=N72,O72,0)</f>
        <v>1</v>
      </c>
      <c r="J72" s="235">
        <f>IF(VLOOKUP($Q72,kopir!$A$1:$L$90,10,FALSE)=N72,O72,0)</f>
        <v>1</v>
      </c>
      <c r="K72" s="235">
        <f>IF(VLOOKUP($Q72,kopir!$A$1:$L$90,11,FALSE)=N72,O72,0)</f>
        <v>1</v>
      </c>
      <c r="L72" s="235">
        <f>VLOOKUP($Q72,kopir!$A$1:$L$90,12,FALSE)</f>
        <v>0</v>
      </c>
      <c r="M72" s="235" t="str">
        <f>IF(G72=0,0,CONCATENATE(VLOOKUP($Q72,kopir!$A$1:$M$93,7,FALSE),G72))</f>
        <v>018</v>
      </c>
      <c r="N72" s="235">
        <f>VLOOKUP($Q72,kopir!$A$1:$M$91,7,FALSE)</f>
        <v>0</v>
      </c>
      <c r="O72" s="252">
        <f t="shared" si="2"/>
        <v>1</v>
      </c>
      <c r="P72" s="252">
        <f t="shared" si="3"/>
        <v>1</v>
      </c>
      <c r="Q72" s="235">
        <v>55</v>
      </c>
    </row>
    <row r="73" spans="1:17" x14ac:dyDescent="0.25">
      <c r="A73" s="245" t="str">
        <f>VLOOKUP($Q73,kopir!$A$1:$M$93,13,0)</f>
        <v>19.2</v>
      </c>
      <c r="B73" s="235">
        <f t="shared" si="1"/>
        <v>1</v>
      </c>
      <c r="C73" s="235">
        <f>VLOOKUP($Q73,kopir!$A$1:$L$90,2,FALSE)</f>
        <v>0</v>
      </c>
      <c r="D73" s="235">
        <f>VLOOKUP($Q73,kopir!$A$1:$L$90,3,FALSE)</f>
        <v>0</v>
      </c>
      <c r="E73" s="235">
        <f>VLOOKUP($Q73,kopir!$A$1:$L$90,4,FALSE)</f>
        <v>0</v>
      </c>
      <c r="F73" s="235"/>
      <c r="G73" s="235">
        <f>IF(VLOOKUP($Q73,kopir!$A$1:$L$90,6,FALSE)&gt;0,VLOOKUP($Q73,kopir!$A$1:$L$90,6,FALSE),0)</f>
        <v>18</v>
      </c>
      <c r="H73" s="235">
        <f>IF(VLOOKUP($Q73,kopir!$A$1:$L$90,8,FALSE)=N73,O73,0)</f>
        <v>1</v>
      </c>
      <c r="I73" s="235">
        <f>IF(VLOOKUP($Q73,kopir!$A$1:$L$90,9,FALSE)=N73,O73,0)</f>
        <v>1</v>
      </c>
      <c r="J73" s="235">
        <f>IF(VLOOKUP($Q73,kopir!$A$1:$L$90,10,FALSE)=N73,O73,0)</f>
        <v>1</v>
      </c>
      <c r="K73" s="235">
        <f>IF(VLOOKUP($Q73,kopir!$A$1:$L$90,11,FALSE)=N73,O73,0)</f>
        <v>1</v>
      </c>
      <c r="L73" s="235">
        <f>VLOOKUP($Q73,kopir!$A$1:$L$90,12,FALSE)</f>
        <v>0</v>
      </c>
      <c r="M73" s="235" t="str">
        <f>IF(G73=0,0,CONCATENATE(VLOOKUP($Q73,kopir!$A$1:$M$93,7,FALSE),G73))</f>
        <v>018</v>
      </c>
      <c r="N73" s="235">
        <f>VLOOKUP($Q73,kopir!$A$1:$M$91,7,FALSE)</f>
        <v>0</v>
      </c>
      <c r="O73" s="252">
        <f t="shared" si="2"/>
        <v>1</v>
      </c>
      <c r="P73" s="252">
        <f t="shared" si="3"/>
        <v>1</v>
      </c>
      <c r="Q73" s="235">
        <v>56</v>
      </c>
    </row>
    <row r="74" spans="1:17" x14ac:dyDescent="0.25">
      <c r="A74" s="245" t="str">
        <f>VLOOKUP($Q74,kopir!$A$1:$M$93,13,0)</f>
        <v>19.3</v>
      </c>
      <c r="B74" s="235">
        <f t="shared" si="1"/>
        <v>0</v>
      </c>
      <c r="C74" s="235">
        <f>VLOOKUP($Q74,kopir!$A$1:$L$90,2,FALSE)</f>
        <v>0</v>
      </c>
      <c r="D74" s="235">
        <f>VLOOKUP($Q74,kopir!$A$1:$L$90,3,FALSE)</f>
        <v>0</v>
      </c>
      <c r="E74" s="235">
        <f>VLOOKUP($Q74,kopir!$A$1:$L$90,4,FALSE)</f>
        <v>0</v>
      </c>
      <c r="F74" s="235"/>
      <c r="G74" s="235">
        <f>IF(VLOOKUP($Q74,kopir!$A$1:$L$90,6,FALSE)&gt;0,VLOOKUP($Q74,kopir!$A$1:$L$90,6,FALSE),0)</f>
        <v>0</v>
      </c>
      <c r="H74" s="235">
        <f>IF(VLOOKUP($Q74,kopir!$A$1:$L$90,8,FALSE)=N74,O74,0)</f>
        <v>1</v>
      </c>
      <c r="I74" s="235">
        <f>IF(VLOOKUP($Q74,kopir!$A$1:$L$90,9,FALSE)=N74,O74,0)</f>
        <v>1</v>
      </c>
      <c r="J74" s="235">
        <f>IF(VLOOKUP($Q74,kopir!$A$1:$L$90,10,FALSE)=N74,O74,0)</f>
        <v>1</v>
      </c>
      <c r="K74" s="235">
        <f>IF(VLOOKUP($Q74,kopir!$A$1:$L$90,11,FALSE)=N74,O74,0)</f>
        <v>1</v>
      </c>
      <c r="L74" s="235">
        <f>VLOOKUP($Q74,kopir!$A$1:$L$90,12,FALSE)</f>
        <v>0</v>
      </c>
      <c r="M74" s="235">
        <f>IF(G74=0,0,CONCATENATE(VLOOKUP($Q74,kopir!$A$1:$M$93,7,FALSE),G74))</f>
        <v>0</v>
      </c>
      <c r="N74" s="235">
        <f>VLOOKUP($Q74,kopir!$A$1:$M$91,7,FALSE)</f>
        <v>0</v>
      </c>
      <c r="O74" s="252">
        <f t="shared" si="2"/>
        <v>1</v>
      </c>
      <c r="P74" s="252">
        <f t="shared" si="3"/>
        <v>0</v>
      </c>
      <c r="Q74" s="235">
        <v>57</v>
      </c>
    </row>
    <row r="75" spans="1:17" x14ac:dyDescent="0.25">
      <c r="A75" s="245" t="str">
        <f>VLOOKUP($Q75,kopir!$A$1:$M$93,13,0)</f>
        <v>20.1</v>
      </c>
      <c r="B75" s="235">
        <f t="shared" si="1"/>
        <v>1</v>
      </c>
      <c r="C75" s="235">
        <f>VLOOKUP($Q75,kopir!$A$1:$L$90,2,FALSE)</f>
        <v>0</v>
      </c>
      <c r="D75" s="235">
        <f>VLOOKUP($Q75,kopir!$A$1:$L$90,3,FALSE)</f>
        <v>164</v>
      </c>
      <c r="E75" s="235">
        <f>VLOOKUP($Q75,kopir!$A$1:$L$90,4,FALSE)</f>
        <v>0</v>
      </c>
      <c r="F75" s="235"/>
      <c r="G75" s="235">
        <f>IF(VLOOKUP($Q75,kopir!$A$1:$L$90,6,FALSE)&gt;0,VLOOKUP($Q75,kopir!$A$1:$L$90,6,FALSE),0)</f>
        <v>18</v>
      </c>
      <c r="H75" s="235">
        <f>IF(VLOOKUP($Q75,kopir!$A$1:$L$90,8,FALSE)=N75,O75,0)</f>
        <v>1</v>
      </c>
      <c r="I75" s="235">
        <f>IF(VLOOKUP($Q75,kopir!$A$1:$L$90,9,FALSE)=N75,O75,0)</f>
        <v>1</v>
      </c>
      <c r="J75" s="235">
        <f>IF(VLOOKUP($Q75,kopir!$A$1:$L$90,10,FALSE)=N75,O75,0)</f>
        <v>1</v>
      </c>
      <c r="K75" s="235">
        <f>IF(VLOOKUP($Q75,kopir!$A$1:$L$90,11,FALSE)=N75,O75,0)</f>
        <v>1</v>
      </c>
      <c r="L75" s="235">
        <f>VLOOKUP($Q75,kopir!$A$1:$L$90,12,FALSE)</f>
        <v>0</v>
      </c>
      <c r="M75" s="235" t="str">
        <f>IF(G75=0,0,CONCATENATE(VLOOKUP($Q75,kopir!$A$1:$M$93,7,FALSE),G75))</f>
        <v>018</v>
      </c>
      <c r="N75" s="235">
        <f>VLOOKUP($Q75,kopir!$A$1:$M$91,7,FALSE)</f>
        <v>0</v>
      </c>
      <c r="O75" s="252">
        <f t="shared" si="2"/>
        <v>1</v>
      </c>
      <c r="P75" s="252">
        <f t="shared" si="3"/>
        <v>1</v>
      </c>
      <c r="Q75" s="235">
        <v>58</v>
      </c>
    </row>
    <row r="76" spans="1:17" x14ac:dyDescent="0.25">
      <c r="A76" s="245" t="str">
        <f>VLOOKUP($Q76,kopir!$A$1:$M$93,13,0)</f>
        <v>20.2</v>
      </c>
      <c r="B76" s="235">
        <f t="shared" si="1"/>
        <v>1</v>
      </c>
      <c r="C76" s="235">
        <f>VLOOKUP($Q76,kopir!$A$1:$L$90,2,FALSE)</f>
        <v>0</v>
      </c>
      <c r="D76" s="235">
        <f>VLOOKUP($Q76,kopir!$A$1:$L$90,3,FALSE)</f>
        <v>0</v>
      </c>
      <c r="E76" s="235">
        <f>VLOOKUP($Q76,kopir!$A$1:$L$90,4,FALSE)</f>
        <v>0</v>
      </c>
      <c r="F76" s="235"/>
      <c r="G76" s="235">
        <f>IF(VLOOKUP($Q76,kopir!$A$1:$L$90,6,FALSE)&gt;0,VLOOKUP($Q76,kopir!$A$1:$L$90,6,FALSE),0)</f>
        <v>18</v>
      </c>
      <c r="H76" s="235">
        <f>IF(VLOOKUP($Q76,kopir!$A$1:$L$90,8,FALSE)=N76,O76,0)</f>
        <v>1</v>
      </c>
      <c r="I76" s="235">
        <f>IF(VLOOKUP($Q76,kopir!$A$1:$L$90,9,FALSE)=N76,O76,0)</f>
        <v>1</v>
      </c>
      <c r="J76" s="235">
        <f>IF(VLOOKUP($Q76,kopir!$A$1:$L$90,10,FALSE)=N76,O76,0)</f>
        <v>1</v>
      </c>
      <c r="K76" s="235">
        <f>IF(VLOOKUP($Q76,kopir!$A$1:$L$90,11,FALSE)=N76,O76,0)</f>
        <v>1</v>
      </c>
      <c r="L76" s="235">
        <f>VLOOKUP($Q76,kopir!$A$1:$L$90,12,FALSE)</f>
        <v>0</v>
      </c>
      <c r="M76" s="235" t="str">
        <f>IF(G76=0,0,CONCATENATE(VLOOKUP($Q76,kopir!$A$1:$M$93,7,FALSE),G76))</f>
        <v>018</v>
      </c>
      <c r="N76" s="235">
        <f>VLOOKUP($Q76,kopir!$A$1:$M$91,7,FALSE)</f>
        <v>0</v>
      </c>
      <c r="O76" s="252">
        <f t="shared" si="2"/>
        <v>1</v>
      </c>
      <c r="P76" s="252">
        <f t="shared" si="3"/>
        <v>1</v>
      </c>
      <c r="Q76" s="235">
        <v>59</v>
      </c>
    </row>
    <row r="77" spans="1:17" x14ac:dyDescent="0.25">
      <c r="A77" s="245" t="str">
        <f>VLOOKUP($Q77,kopir!$A$1:$M$93,13,0)</f>
        <v>20.3</v>
      </c>
      <c r="B77" s="235">
        <f t="shared" si="1"/>
        <v>0</v>
      </c>
      <c r="C77" s="235">
        <f>VLOOKUP($Q77,kopir!$A$1:$L$90,2,FALSE)</f>
        <v>0</v>
      </c>
      <c r="D77" s="235">
        <f>VLOOKUP($Q77,kopir!$A$1:$L$90,3,FALSE)</f>
        <v>0</v>
      </c>
      <c r="E77" s="235">
        <f>VLOOKUP($Q77,kopir!$A$1:$L$90,4,FALSE)</f>
        <v>0</v>
      </c>
      <c r="F77" s="235"/>
      <c r="G77" s="235">
        <f>IF(VLOOKUP($Q77,kopir!$A$1:$L$90,6,FALSE)&gt;0,VLOOKUP($Q77,kopir!$A$1:$L$90,6,FALSE),0)</f>
        <v>0</v>
      </c>
      <c r="H77" s="235">
        <f>IF(VLOOKUP($Q77,kopir!$A$1:$L$90,8,FALSE)=N77,O77,0)</f>
        <v>1</v>
      </c>
      <c r="I77" s="235">
        <f>IF(VLOOKUP($Q77,kopir!$A$1:$L$90,9,FALSE)=N77,O77,0)</f>
        <v>1</v>
      </c>
      <c r="J77" s="235">
        <f>IF(VLOOKUP($Q77,kopir!$A$1:$L$90,10,FALSE)=N77,O77,0)</f>
        <v>1</v>
      </c>
      <c r="K77" s="235">
        <f>IF(VLOOKUP($Q77,kopir!$A$1:$L$90,11,FALSE)=N77,O77,0)</f>
        <v>1</v>
      </c>
      <c r="L77" s="235">
        <f>VLOOKUP($Q77,kopir!$A$1:$L$90,12,FALSE)</f>
        <v>0</v>
      </c>
      <c r="M77" s="235">
        <f>IF(G77=0,0,CONCATENATE(VLOOKUP($Q77,kopir!$A$1:$M$93,7,FALSE),G77))</f>
        <v>0</v>
      </c>
      <c r="N77" s="235">
        <f>VLOOKUP($Q77,kopir!$A$1:$M$91,7,FALSE)</f>
        <v>0</v>
      </c>
      <c r="O77" s="252">
        <f t="shared" si="2"/>
        <v>1</v>
      </c>
      <c r="P77" s="252">
        <f t="shared" si="3"/>
        <v>0</v>
      </c>
      <c r="Q77" s="235">
        <v>60</v>
      </c>
    </row>
    <row r="78" spans="1:17" x14ac:dyDescent="0.25">
      <c r="A78" s="245" t="str">
        <f>VLOOKUP($Q78,kopir!$A$1:$M$93,13,0)</f>
        <v>21.1</v>
      </c>
      <c r="B78" s="235">
        <f t="shared" si="1"/>
        <v>1</v>
      </c>
      <c r="C78" s="235">
        <f>VLOOKUP($Q78,kopir!$A$1:$L$90,2,FALSE)</f>
        <v>0</v>
      </c>
      <c r="D78" s="235">
        <f>VLOOKUP($Q78,kopir!$A$1:$L$90,3,FALSE)</f>
        <v>164</v>
      </c>
      <c r="E78" s="235">
        <f>VLOOKUP($Q78,kopir!$A$1:$L$90,4,FALSE)</f>
        <v>0</v>
      </c>
      <c r="F78" s="235"/>
      <c r="G78" s="235">
        <f>IF(VLOOKUP($Q78,kopir!$A$1:$L$90,6,FALSE)&gt;0,VLOOKUP($Q78,kopir!$A$1:$L$90,6,FALSE),0)</f>
        <v>18</v>
      </c>
      <c r="H78" s="235">
        <f>IF(VLOOKUP($Q78,kopir!$A$1:$L$90,8,FALSE)=N78,O78,0)</f>
        <v>1</v>
      </c>
      <c r="I78" s="235">
        <f>IF(VLOOKUP($Q78,kopir!$A$1:$L$90,9,FALSE)=N78,O78,0)</f>
        <v>1</v>
      </c>
      <c r="J78" s="235">
        <f>IF(VLOOKUP($Q78,kopir!$A$1:$L$90,10,FALSE)=N78,O78,0)</f>
        <v>1</v>
      </c>
      <c r="K78" s="235">
        <f>IF(VLOOKUP($Q78,kopir!$A$1:$L$90,11,FALSE)=N78,O78,0)</f>
        <v>1</v>
      </c>
      <c r="L78" s="235">
        <f>VLOOKUP($Q78,kopir!$A$1:$L$90,12,FALSE)</f>
        <v>0</v>
      </c>
      <c r="M78" s="235" t="str">
        <f>IF(G78=0,0,CONCATENATE(VLOOKUP($Q78,kopir!$A$1:$M$93,7,FALSE),G78))</f>
        <v>018</v>
      </c>
      <c r="N78" s="235">
        <f>VLOOKUP($Q78,kopir!$A$1:$M$91,7,FALSE)</f>
        <v>0</v>
      </c>
      <c r="O78" s="252">
        <f t="shared" si="2"/>
        <v>1</v>
      </c>
      <c r="P78" s="252">
        <f t="shared" si="3"/>
        <v>1</v>
      </c>
      <c r="Q78" s="235">
        <v>61</v>
      </c>
    </row>
    <row r="79" spans="1:17" x14ac:dyDescent="0.25">
      <c r="A79" s="245" t="str">
        <f>VLOOKUP($Q79,kopir!$A$1:$M$93,13,0)</f>
        <v>21.2</v>
      </c>
      <c r="B79" s="235">
        <f t="shared" si="1"/>
        <v>1</v>
      </c>
      <c r="C79" s="235">
        <f>VLOOKUP($Q79,kopir!$A$1:$L$90,2,FALSE)</f>
        <v>0</v>
      </c>
      <c r="D79" s="235">
        <f>VLOOKUP($Q79,kopir!$A$1:$L$90,3,FALSE)</f>
        <v>0</v>
      </c>
      <c r="E79" s="235">
        <f>VLOOKUP($Q79,kopir!$A$1:$L$90,4,FALSE)</f>
        <v>0</v>
      </c>
      <c r="F79" s="235"/>
      <c r="G79" s="235">
        <f>IF(VLOOKUP($Q79,kopir!$A$1:$L$90,6,FALSE)&gt;0,VLOOKUP($Q79,kopir!$A$1:$L$90,6,FALSE),0)</f>
        <v>18</v>
      </c>
      <c r="H79" s="235">
        <f>IF(VLOOKUP($Q79,kopir!$A$1:$L$90,8,FALSE)=N79,O79,0)</f>
        <v>1</v>
      </c>
      <c r="I79" s="235">
        <f>IF(VLOOKUP($Q79,kopir!$A$1:$L$90,9,FALSE)=N79,O79,0)</f>
        <v>1</v>
      </c>
      <c r="J79" s="235">
        <f>IF(VLOOKUP($Q79,kopir!$A$1:$L$90,10,FALSE)=N79,O79,0)</f>
        <v>1</v>
      </c>
      <c r="K79" s="235">
        <f>IF(VLOOKUP($Q79,kopir!$A$1:$L$90,11,FALSE)=N79,O79,0)</f>
        <v>1</v>
      </c>
      <c r="L79" s="235">
        <f>VLOOKUP($Q79,kopir!$A$1:$L$90,12,FALSE)</f>
        <v>0</v>
      </c>
      <c r="M79" s="235" t="str">
        <f>IF(G79=0,0,CONCATENATE(VLOOKUP($Q79,kopir!$A$1:$M$93,7,FALSE),G79))</f>
        <v>018</v>
      </c>
      <c r="N79" s="235">
        <f>VLOOKUP($Q79,kopir!$A$1:$M$91,7,FALSE)</f>
        <v>0</v>
      </c>
      <c r="O79" s="252">
        <f t="shared" si="2"/>
        <v>1</v>
      </c>
      <c r="P79" s="252">
        <f t="shared" si="3"/>
        <v>1</v>
      </c>
      <c r="Q79" s="235">
        <v>62</v>
      </c>
    </row>
    <row r="80" spans="1:17" x14ac:dyDescent="0.25">
      <c r="A80" s="245" t="str">
        <f>VLOOKUP($Q80,kopir!$A$1:$M$93,13,0)</f>
        <v>21.3</v>
      </c>
      <c r="B80" s="235">
        <f t="shared" si="1"/>
        <v>0</v>
      </c>
      <c r="C80" s="235">
        <f>VLOOKUP($Q80,kopir!$A$1:$L$90,2,FALSE)</f>
        <v>0</v>
      </c>
      <c r="D80" s="235">
        <f>VLOOKUP($Q80,kopir!$A$1:$L$90,3,FALSE)</f>
        <v>0</v>
      </c>
      <c r="E80" s="235">
        <f>VLOOKUP($Q80,kopir!$A$1:$L$90,4,FALSE)</f>
        <v>0</v>
      </c>
      <c r="F80" s="235"/>
      <c r="G80" s="235">
        <f>IF(VLOOKUP($Q80,kopir!$A$1:$L$90,6,FALSE)&gt;0,VLOOKUP($Q80,kopir!$A$1:$L$90,6,FALSE),0)</f>
        <v>0</v>
      </c>
      <c r="H80" s="235">
        <f>IF(VLOOKUP($Q80,kopir!$A$1:$L$90,8,FALSE)=N80,O80,0)</f>
        <v>1</v>
      </c>
      <c r="I80" s="235">
        <f>IF(VLOOKUP($Q80,kopir!$A$1:$L$90,9,FALSE)=N80,O80,0)</f>
        <v>1</v>
      </c>
      <c r="J80" s="235">
        <f>IF(VLOOKUP($Q80,kopir!$A$1:$L$90,10,FALSE)=N80,O80,0)</f>
        <v>1</v>
      </c>
      <c r="K80" s="235">
        <f>IF(VLOOKUP($Q80,kopir!$A$1:$L$90,11,FALSE)=N80,O80,0)</f>
        <v>1</v>
      </c>
      <c r="L80" s="235">
        <f>VLOOKUP($Q80,kopir!$A$1:$L$90,12,FALSE)</f>
        <v>0</v>
      </c>
      <c r="M80" s="235">
        <f>IF(G80=0,0,CONCATENATE(VLOOKUP($Q80,kopir!$A$1:$M$93,7,FALSE),G80))</f>
        <v>0</v>
      </c>
      <c r="N80" s="235">
        <f>VLOOKUP($Q80,kopir!$A$1:$M$91,7,FALSE)</f>
        <v>0</v>
      </c>
      <c r="O80" s="252">
        <f t="shared" si="2"/>
        <v>1</v>
      </c>
      <c r="P80" s="252">
        <f t="shared" si="3"/>
        <v>0</v>
      </c>
      <c r="Q80" s="235">
        <v>63</v>
      </c>
    </row>
    <row r="81" spans="1:17" x14ac:dyDescent="0.25">
      <c r="A81" s="245" t="str">
        <f>VLOOKUP($Q81,kopir!$A$1:$M$93,13,0)</f>
        <v>22.1</v>
      </c>
      <c r="B81" s="235">
        <f t="shared" si="1"/>
        <v>1</v>
      </c>
      <c r="C81" s="235">
        <f>VLOOKUP($Q81,kopir!$A$1:$L$90,2,FALSE)</f>
        <v>0</v>
      </c>
      <c r="D81" s="235">
        <f>VLOOKUP($Q81,kopir!$A$1:$L$90,3,FALSE)</f>
        <v>164</v>
      </c>
      <c r="E81" s="235">
        <f>VLOOKUP($Q81,kopir!$A$1:$L$90,4,FALSE)</f>
        <v>0</v>
      </c>
      <c r="F81" s="235"/>
      <c r="G81" s="235">
        <f>IF(VLOOKUP($Q81,kopir!$A$1:$L$90,6,FALSE)&gt;0,VLOOKUP($Q81,kopir!$A$1:$L$90,6,FALSE),0)</f>
        <v>18</v>
      </c>
      <c r="H81" s="235">
        <f>IF(VLOOKUP($Q81,kopir!$A$1:$L$90,8,FALSE)=N81,O81,0)</f>
        <v>1</v>
      </c>
      <c r="I81" s="235">
        <f>IF(VLOOKUP($Q81,kopir!$A$1:$L$90,9,FALSE)=N81,O81,0)</f>
        <v>1</v>
      </c>
      <c r="J81" s="235">
        <f>IF(VLOOKUP($Q81,kopir!$A$1:$L$90,10,FALSE)=N81,O81,0)</f>
        <v>1</v>
      </c>
      <c r="K81" s="235">
        <f>IF(VLOOKUP($Q81,kopir!$A$1:$L$90,11,FALSE)=N81,O81,0)</f>
        <v>1</v>
      </c>
      <c r="L81" s="235">
        <f>VLOOKUP($Q81,kopir!$A$1:$L$90,12,FALSE)</f>
        <v>0</v>
      </c>
      <c r="M81" s="235" t="str">
        <f>IF(G81=0,0,CONCATENATE(VLOOKUP($Q81,kopir!$A$1:$M$93,7,FALSE),G81))</f>
        <v>018</v>
      </c>
      <c r="N81" s="235">
        <f>VLOOKUP($Q81,kopir!$A$1:$M$91,7,FALSE)</f>
        <v>0</v>
      </c>
      <c r="O81" s="252">
        <f t="shared" si="2"/>
        <v>1</v>
      </c>
      <c r="P81" s="252">
        <f t="shared" si="3"/>
        <v>1</v>
      </c>
      <c r="Q81" s="235">
        <v>64</v>
      </c>
    </row>
    <row r="82" spans="1:17" x14ac:dyDescent="0.25">
      <c r="A82" s="245" t="str">
        <f>VLOOKUP($Q82,kopir!$A$1:$M$93,13,0)</f>
        <v>22.2</v>
      </c>
      <c r="B82" s="235">
        <f t="shared" si="1"/>
        <v>1</v>
      </c>
      <c r="C82" s="235">
        <f>VLOOKUP($Q82,kopir!$A$1:$L$90,2,FALSE)</f>
        <v>0</v>
      </c>
      <c r="D82" s="235">
        <f>VLOOKUP($Q82,kopir!$A$1:$L$90,3,FALSE)</f>
        <v>0</v>
      </c>
      <c r="E82" s="235">
        <f>VLOOKUP($Q82,kopir!$A$1:$L$90,4,FALSE)</f>
        <v>0</v>
      </c>
      <c r="F82" s="235"/>
      <c r="G82" s="235">
        <f>IF(VLOOKUP($Q82,kopir!$A$1:$L$90,6,FALSE)&gt;0,VLOOKUP($Q82,kopir!$A$1:$L$90,6,FALSE),0)</f>
        <v>18</v>
      </c>
      <c r="H82" s="235">
        <f>IF(VLOOKUP($Q82,kopir!$A$1:$L$90,8,FALSE)=N82,O82,0)</f>
        <v>1</v>
      </c>
      <c r="I82" s="235">
        <f>IF(VLOOKUP($Q82,kopir!$A$1:$L$90,9,FALSE)=N82,O82,0)</f>
        <v>1</v>
      </c>
      <c r="J82" s="235">
        <f>IF(VLOOKUP($Q82,kopir!$A$1:$L$90,10,FALSE)=N82,O82,0)</f>
        <v>1</v>
      </c>
      <c r="K82" s="235">
        <f>IF(VLOOKUP($Q82,kopir!$A$1:$L$90,11,FALSE)=N82,O82,0)</f>
        <v>1</v>
      </c>
      <c r="L82" s="235">
        <f>VLOOKUP($Q82,kopir!$A$1:$L$90,12,FALSE)</f>
        <v>0</v>
      </c>
      <c r="M82" s="235" t="str">
        <f>IF(G82=0,0,CONCATENATE(VLOOKUP($Q82,kopir!$A$1:$M$93,7,FALSE),G82))</f>
        <v>018</v>
      </c>
      <c r="N82" s="235">
        <f>VLOOKUP($Q82,kopir!$A$1:$M$91,7,FALSE)</f>
        <v>0</v>
      </c>
      <c r="O82" s="252">
        <f t="shared" si="2"/>
        <v>1</v>
      </c>
      <c r="P82" s="252">
        <f t="shared" si="3"/>
        <v>1</v>
      </c>
      <c r="Q82" s="235">
        <v>65</v>
      </c>
    </row>
    <row r="83" spans="1:17" x14ac:dyDescent="0.25">
      <c r="A83" s="245" t="str">
        <f>VLOOKUP($Q83,kopir!$A$1:$M$93,13,0)</f>
        <v>22.3</v>
      </c>
      <c r="B83" s="235">
        <f t="shared" ref="B83:B107" si="4">P83</f>
        <v>0</v>
      </c>
      <c r="C83" s="235">
        <f>VLOOKUP($Q83,kopir!$A$1:$L$90,2,FALSE)</f>
        <v>0</v>
      </c>
      <c r="D83" s="235">
        <f>VLOOKUP($Q83,kopir!$A$1:$L$90,3,FALSE)</f>
        <v>0</v>
      </c>
      <c r="E83" s="235">
        <f>VLOOKUP($Q83,kopir!$A$1:$L$90,4,FALSE)</f>
        <v>0</v>
      </c>
      <c r="F83" s="235"/>
      <c r="G83" s="235">
        <f>IF(VLOOKUP($Q83,kopir!$A$1:$L$90,6,FALSE)&gt;0,VLOOKUP($Q83,kopir!$A$1:$L$90,6,FALSE),0)</f>
        <v>0</v>
      </c>
      <c r="H83" s="235">
        <f>IF(VLOOKUP($Q83,kopir!$A$1:$L$90,8,FALSE)=N83,O83,0)</f>
        <v>1</v>
      </c>
      <c r="I83" s="235">
        <f>IF(VLOOKUP($Q83,kopir!$A$1:$L$90,9,FALSE)=N83,O83,0)</f>
        <v>1</v>
      </c>
      <c r="J83" s="235">
        <f>IF(VLOOKUP($Q83,kopir!$A$1:$L$90,10,FALSE)=N83,O83,0)</f>
        <v>1</v>
      </c>
      <c r="K83" s="235">
        <f>IF(VLOOKUP($Q83,kopir!$A$1:$L$90,11,FALSE)=N83,O83,0)</f>
        <v>1</v>
      </c>
      <c r="L83" s="235">
        <f>VLOOKUP($Q83,kopir!$A$1:$L$90,12,FALSE)</f>
        <v>0</v>
      </c>
      <c r="M83" s="235">
        <f>IF(G83=0,0,CONCATENATE(VLOOKUP($Q83,kopir!$A$1:$M$93,7,FALSE),G83))</f>
        <v>0</v>
      </c>
      <c r="N83" s="235">
        <f>VLOOKUP($Q83,kopir!$A$1:$M$91,7,FALSE)</f>
        <v>0</v>
      </c>
      <c r="O83" s="252">
        <f t="shared" ref="O83:O107" si="5">IF($N83=$L$11,$I$11,IF($N83=$L$12,$I$12,IF($N83=$L$13,$I$13,IF($N83=$L$14,$I$14,0))))</f>
        <v>1</v>
      </c>
      <c r="P83" s="252">
        <f t="shared" ref="P83:P107" si="6">IF(M83=$C$11,$A$11,IF(M83=$C$12,$A$12,IF(M83=$C$13,$A$13,IF(M83=$C$14,$A$14,0))))</f>
        <v>0</v>
      </c>
      <c r="Q83" s="235">
        <v>66</v>
      </c>
    </row>
    <row r="84" spans="1:17" x14ac:dyDescent="0.25">
      <c r="A84" s="245" t="str">
        <f>VLOOKUP($Q84,kopir!$A$1:$M$93,13,0)</f>
        <v>23.1</v>
      </c>
      <c r="B84" s="235">
        <f t="shared" si="4"/>
        <v>1</v>
      </c>
      <c r="C84" s="235">
        <f>VLOOKUP($Q84,kopir!$A$1:$L$90,2,FALSE)</f>
        <v>0</v>
      </c>
      <c r="D84" s="235">
        <f>VLOOKUP($Q84,kopir!$A$1:$L$90,3,FALSE)</f>
        <v>164</v>
      </c>
      <c r="E84" s="235">
        <f>VLOOKUP($Q84,kopir!$A$1:$L$90,4,FALSE)</f>
        <v>0</v>
      </c>
      <c r="F84" s="235"/>
      <c r="G84" s="235">
        <f>IF(VLOOKUP($Q84,kopir!$A$1:$L$90,6,FALSE)&gt;0,VLOOKUP($Q84,kopir!$A$1:$L$90,6,FALSE),0)</f>
        <v>18</v>
      </c>
      <c r="H84" s="235">
        <f>IF(VLOOKUP($Q84,kopir!$A$1:$L$90,8,FALSE)=N84,O84,0)</f>
        <v>1</v>
      </c>
      <c r="I84" s="235">
        <f>IF(VLOOKUP($Q84,kopir!$A$1:$L$90,9,FALSE)=N84,O84,0)</f>
        <v>1</v>
      </c>
      <c r="J84" s="235">
        <f>IF(VLOOKUP($Q84,kopir!$A$1:$L$90,10,FALSE)=N84,O84,0)</f>
        <v>1</v>
      </c>
      <c r="K84" s="235">
        <f>IF(VLOOKUP($Q84,kopir!$A$1:$L$90,11,FALSE)=N84,O84,0)</f>
        <v>1</v>
      </c>
      <c r="L84" s="235">
        <f>VLOOKUP($Q84,kopir!$A$1:$L$90,12,FALSE)</f>
        <v>0</v>
      </c>
      <c r="M84" s="235" t="str">
        <f>IF(G84=0,0,CONCATENATE(VLOOKUP($Q84,kopir!$A$1:$M$93,7,FALSE),G84))</f>
        <v>018</v>
      </c>
      <c r="N84" s="235">
        <f>VLOOKUP($Q84,kopir!$A$1:$M$91,7,FALSE)</f>
        <v>0</v>
      </c>
      <c r="O84" s="252">
        <f t="shared" si="5"/>
        <v>1</v>
      </c>
      <c r="P84" s="252">
        <f t="shared" si="6"/>
        <v>1</v>
      </c>
      <c r="Q84" s="235">
        <v>67</v>
      </c>
    </row>
    <row r="85" spans="1:17" x14ac:dyDescent="0.25">
      <c r="A85" s="245" t="str">
        <f>VLOOKUP($Q85,kopir!$A$1:$M$93,13,0)</f>
        <v>23.2</v>
      </c>
      <c r="B85" s="235">
        <f t="shared" si="4"/>
        <v>1</v>
      </c>
      <c r="C85" s="235">
        <f>VLOOKUP($Q85,kopir!$A$1:$L$90,2,FALSE)</f>
        <v>0</v>
      </c>
      <c r="D85" s="235">
        <f>VLOOKUP($Q85,kopir!$A$1:$L$90,3,FALSE)</f>
        <v>0</v>
      </c>
      <c r="E85" s="235">
        <f>VLOOKUP($Q85,kopir!$A$1:$L$90,4,FALSE)</f>
        <v>0</v>
      </c>
      <c r="F85" s="235"/>
      <c r="G85" s="235">
        <f>IF(VLOOKUP($Q85,kopir!$A$1:$L$90,6,FALSE)&gt;0,VLOOKUP($Q85,kopir!$A$1:$L$90,6,FALSE),0)</f>
        <v>18</v>
      </c>
      <c r="H85" s="235">
        <f>IF(VLOOKUP($Q85,kopir!$A$1:$L$90,8,FALSE)=N85,O85,0)</f>
        <v>1</v>
      </c>
      <c r="I85" s="235">
        <f>IF(VLOOKUP($Q85,kopir!$A$1:$L$90,9,FALSE)=N85,O85,0)</f>
        <v>1</v>
      </c>
      <c r="J85" s="235">
        <f>IF(VLOOKUP($Q85,kopir!$A$1:$L$90,10,FALSE)=N85,O85,0)</f>
        <v>1</v>
      </c>
      <c r="K85" s="235">
        <f>IF(VLOOKUP($Q85,kopir!$A$1:$L$90,11,FALSE)=N85,O85,0)</f>
        <v>1</v>
      </c>
      <c r="L85" s="235">
        <f>VLOOKUP($Q85,kopir!$A$1:$L$90,12,FALSE)</f>
        <v>0</v>
      </c>
      <c r="M85" s="235" t="str">
        <f>IF(G85=0,0,CONCATENATE(VLOOKUP($Q85,kopir!$A$1:$M$93,7,FALSE),G85))</f>
        <v>018</v>
      </c>
      <c r="N85" s="235">
        <f>VLOOKUP($Q85,kopir!$A$1:$M$91,7,FALSE)</f>
        <v>0</v>
      </c>
      <c r="O85" s="252">
        <f t="shared" si="5"/>
        <v>1</v>
      </c>
      <c r="P85" s="252">
        <f t="shared" si="6"/>
        <v>1</v>
      </c>
      <c r="Q85" s="235">
        <v>68</v>
      </c>
    </row>
    <row r="86" spans="1:17" x14ac:dyDescent="0.25">
      <c r="A86" s="245" t="str">
        <f>VLOOKUP($Q86,kopir!$A$1:$M$93,13,0)</f>
        <v>23.3</v>
      </c>
      <c r="B86" s="235">
        <f t="shared" si="4"/>
        <v>0</v>
      </c>
      <c r="C86" s="235">
        <f>VLOOKUP($Q86,kopir!$A$1:$L$90,2,FALSE)</f>
        <v>0</v>
      </c>
      <c r="D86" s="235">
        <f>VLOOKUP($Q86,kopir!$A$1:$L$90,3,FALSE)</f>
        <v>0</v>
      </c>
      <c r="E86" s="235">
        <f>VLOOKUP($Q86,kopir!$A$1:$L$90,4,FALSE)</f>
        <v>0</v>
      </c>
      <c r="F86" s="235"/>
      <c r="G86" s="235">
        <f>IF(VLOOKUP($Q86,kopir!$A$1:$L$90,6,FALSE)&gt;0,VLOOKUP($Q86,kopir!$A$1:$L$90,6,FALSE),0)</f>
        <v>0</v>
      </c>
      <c r="H86" s="235">
        <f>IF(VLOOKUP($Q86,kopir!$A$1:$L$90,8,FALSE)=N86,O86,0)</f>
        <v>1</v>
      </c>
      <c r="I86" s="235">
        <f>IF(VLOOKUP($Q86,kopir!$A$1:$L$90,9,FALSE)=N86,O86,0)</f>
        <v>1</v>
      </c>
      <c r="J86" s="235">
        <f>IF(VLOOKUP($Q86,kopir!$A$1:$L$90,10,FALSE)=N86,O86,0)</f>
        <v>1</v>
      </c>
      <c r="K86" s="235">
        <f>IF(VLOOKUP($Q86,kopir!$A$1:$L$90,11,FALSE)=N86,O86,0)</f>
        <v>1</v>
      </c>
      <c r="L86" s="235">
        <f>VLOOKUP($Q86,kopir!$A$1:$L$90,12,FALSE)</f>
        <v>0</v>
      </c>
      <c r="M86" s="235">
        <f>IF(G86=0,0,CONCATENATE(VLOOKUP($Q86,kopir!$A$1:$M$93,7,FALSE),G86))</f>
        <v>0</v>
      </c>
      <c r="N86" s="235">
        <f>VLOOKUP($Q86,kopir!$A$1:$M$91,7,FALSE)</f>
        <v>0</v>
      </c>
      <c r="O86" s="252">
        <f t="shared" si="5"/>
        <v>1</v>
      </c>
      <c r="P86" s="252">
        <f t="shared" si="6"/>
        <v>0</v>
      </c>
      <c r="Q86" s="235">
        <v>69</v>
      </c>
    </row>
    <row r="87" spans="1:17" x14ac:dyDescent="0.25">
      <c r="A87" s="245" t="str">
        <f>VLOOKUP($Q87,kopir!$A$1:$M$93,13,0)</f>
        <v>24.1</v>
      </c>
      <c r="B87" s="235">
        <f t="shared" si="4"/>
        <v>1</v>
      </c>
      <c r="C87" s="235">
        <f>VLOOKUP($Q87,kopir!$A$1:$L$90,2,FALSE)</f>
        <v>0</v>
      </c>
      <c r="D87" s="235">
        <f>VLOOKUP($Q87,kopir!$A$1:$L$90,3,FALSE)</f>
        <v>164</v>
      </c>
      <c r="E87" s="235">
        <f>VLOOKUP($Q87,kopir!$A$1:$L$90,4,FALSE)</f>
        <v>0</v>
      </c>
      <c r="F87" s="235"/>
      <c r="G87" s="235">
        <f>IF(VLOOKUP($Q87,kopir!$A$1:$L$90,6,FALSE)&gt;0,VLOOKUP($Q87,kopir!$A$1:$L$90,6,FALSE),0)</f>
        <v>18</v>
      </c>
      <c r="H87" s="235">
        <f>IF(VLOOKUP($Q87,kopir!$A$1:$L$90,8,FALSE)=N87,O87,0)</f>
        <v>1</v>
      </c>
      <c r="I87" s="235">
        <f>IF(VLOOKUP($Q87,kopir!$A$1:$L$90,9,FALSE)=N87,O87,0)</f>
        <v>1</v>
      </c>
      <c r="J87" s="235">
        <f>IF(VLOOKUP($Q87,kopir!$A$1:$L$90,10,FALSE)=N87,O87,0)</f>
        <v>1</v>
      </c>
      <c r="K87" s="235">
        <f>IF(VLOOKUP($Q87,kopir!$A$1:$L$90,11,FALSE)=N87,O87,0)</f>
        <v>1</v>
      </c>
      <c r="L87" s="235">
        <f>VLOOKUP($Q87,kopir!$A$1:$L$90,12,FALSE)</f>
        <v>0</v>
      </c>
      <c r="M87" s="235" t="str">
        <f>IF(G87=0,0,CONCATENATE(VLOOKUP($Q87,kopir!$A$1:$M$93,7,FALSE),G87))</f>
        <v>018</v>
      </c>
      <c r="N87" s="235">
        <f>VLOOKUP($Q87,kopir!$A$1:$M$91,7,FALSE)</f>
        <v>0</v>
      </c>
      <c r="O87" s="252">
        <f t="shared" si="5"/>
        <v>1</v>
      </c>
      <c r="P87" s="252">
        <f t="shared" si="6"/>
        <v>1</v>
      </c>
      <c r="Q87" s="235">
        <v>70</v>
      </c>
    </row>
    <row r="88" spans="1:17" x14ac:dyDescent="0.25">
      <c r="A88" s="245" t="str">
        <f>VLOOKUP($Q88,kopir!$A$1:$M$93,13,0)</f>
        <v>24.2</v>
      </c>
      <c r="B88" s="235">
        <f t="shared" si="4"/>
        <v>1</v>
      </c>
      <c r="C88" s="235">
        <f>VLOOKUP($Q88,kopir!$A$1:$L$90,2,FALSE)</f>
        <v>0</v>
      </c>
      <c r="D88" s="235">
        <f>VLOOKUP($Q88,kopir!$A$1:$L$90,3,FALSE)</f>
        <v>0</v>
      </c>
      <c r="E88" s="235">
        <f>VLOOKUP($Q88,kopir!$A$1:$L$90,4,FALSE)</f>
        <v>0</v>
      </c>
      <c r="F88" s="235"/>
      <c r="G88" s="235">
        <f>IF(VLOOKUP($Q88,kopir!$A$1:$L$90,6,FALSE)&gt;0,VLOOKUP($Q88,kopir!$A$1:$L$90,6,FALSE),0)</f>
        <v>18</v>
      </c>
      <c r="H88" s="235">
        <f>IF(VLOOKUP($Q88,kopir!$A$1:$L$90,8,FALSE)=N88,O88,0)</f>
        <v>1</v>
      </c>
      <c r="I88" s="235">
        <f>IF(VLOOKUP($Q88,kopir!$A$1:$L$90,9,FALSE)=N88,O88,0)</f>
        <v>1</v>
      </c>
      <c r="J88" s="235">
        <f>IF(VLOOKUP($Q88,kopir!$A$1:$L$90,10,FALSE)=N88,O88,0)</f>
        <v>1</v>
      </c>
      <c r="K88" s="235">
        <f>IF(VLOOKUP($Q88,kopir!$A$1:$L$90,11,FALSE)=N88,O88,0)</f>
        <v>1</v>
      </c>
      <c r="L88" s="235">
        <f>VLOOKUP($Q88,kopir!$A$1:$L$90,12,FALSE)</f>
        <v>0</v>
      </c>
      <c r="M88" s="235" t="str">
        <f>IF(G88=0,0,CONCATENATE(VLOOKUP($Q88,kopir!$A$1:$M$93,7,FALSE),G88))</f>
        <v>018</v>
      </c>
      <c r="N88" s="235">
        <f>VLOOKUP($Q88,kopir!$A$1:$M$91,7,FALSE)</f>
        <v>0</v>
      </c>
      <c r="O88" s="252">
        <f t="shared" si="5"/>
        <v>1</v>
      </c>
      <c r="P88" s="252">
        <f t="shared" si="6"/>
        <v>1</v>
      </c>
      <c r="Q88" s="235">
        <v>71</v>
      </c>
    </row>
    <row r="89" spans="1:17" x14ac:dyDescent="0.25">
      <c r="A89" s="245" t="str">
        <f>VLOOKUP($Q89,kopir!$A$1:$M$93,13,0)</f>
        <v>24.3</v>
      </c>
      <c r="B89" s="235">
        <f t="shared" si="4"/>
        <v>0</v>
      </c>
      <c r="C89" s="235">
        <f>VLOOKUP($Q89,kopir!$A$1:$L$90,2,FALSE)</f>
        <v>0</v>
      </c>
      <c r="D89" s="235">
        <f>VLOOKUP($Q89,kopir!$A$1:$L$90,3,FALSE)</f>
        <v>0</v>
      </c>
      <c r="E89" s="235">
        <f>VLOOKUP($Q89,kopir!$A$1:$L$90,4,FALSE)</f>
        <v>0</v>
      </c>
      <c r="F89" s="235"/>
      <c r="G89" s="235">
        <f>IF(VLOOKUP($Q89,kopir!$A$1:$L$90,6,FALSE)&gt;0,VLOOKUP($Q89,kopir!$A$1:$L$90,6,FALSE),0)</f>
        <v>0</v>
      </c>
      <c r="H89" s="235">
        <f>IF(VLOOKUP($Q89,kopir!$A$1:$L$90,8,FALSE)=N89,O89,0)</f>
        <v>1</v>
      </c>
      <c r="I89" s="235">
        <f>IF(VLOOKUP($Q89,kopir!$A$1:$L$90,9,FALSE)=N89,O89,0)</f>
        <v>1</v>
      </c>
      <c r="J89" s="235">
        <f>IF(VLOOKUP($Q89,kopir!$A$1:$L$90,10,FALSE)=N89,O89,0)</f>
        <v>1</v>
      </c>
      <c r="K89" s="235">
        <f>IF(VLOOKUP($Q89,kopir!$A$1:$L$90,11,FALSE)=N89,O89,0)</f>
        <v>1</v>
      </c>
      <c r="L89" s="235">
        <f>VLOOKUP($Q89,kopir!$A$1:$L$90,12,FALSE)</f>
        <v>0</v>
      </c>
      <c r="M89" s="235">
        <f>IF(G89=0,0,CONCATENATE(VLOOKUP($Q89,kopir!$A$1:$M$93,7,FALSE),G89))</f>
        <v>0</v>
      </c>
      <c r="N89" s="235">
        <f>VLOOKUP($Q89,kopir!$A$1:$M$91,7,FALSE)</f>
        <v>0</v>
      </c>
      <c r="O89" s="252">
        <f t="shared" si="5"/>
        <v>1</v>
      </c>
      <c r="P89" s="252">
        <f t="shared" si="6"/>
        <v>0</v>
      </c>
      <c r="Q89" s="235">
        <v>72</v>
      </c>
    </row>
    <row r="90" spans="1:17" x14ac:dyDescent="0.25">
      <c r="A90" s="245" t="str">
        <f>VLOOKUP($Q90,kopir!$A$1:$M$93,13,0)</f>
        <v>25.1</v>
      </c>
      <c r="B90" s="235">
        <f t="shared" si="4"/>
        <v>1</v>
      </c>
      <c r="C90" s="235">
        <f>VLOOKUP($Q90,kopir!$A$1:$L$90,2,FALSE)</f>
        <v>0</v>
      </c>
      <c r="D90" s="235">
        <f>VLOOKUP($Q90,kopir!$A$1:$L$90,3,FALSE)</f>
        <v>164</v>
      </c>
      <c r="E90" s="235">
        <f>VLOOKUP($Q90,kopir!$A$1:$L$90,4,FALSE)</f>
        <v>0</v>
      </c>
      <c r="F90" s="235"/>
      <c r="G90" s="235">
        <f>IF(VLOOKUP($Q90,kopir!$A$1:$L$90,6,FALSE)&gt;0,VLOOKUP($Q90,kopir!$A$1:$L$90,6,FALSE),0)</f>
        <v>18</v>
      </c>
      <c r="H90" s="235">
        <f>IF(VLOOKUP($Q90,kopir!$A$1:$L$90,8,FALSE)=N90,O90,0)</f>
        <v>1</v>
      </c>
      <c r="I90" s="235">
        <f>IF(VLOOKUP($Q90,kopir!$A$1:$L$90,9,FALSE)=N90,O90,0)</f>
        <v>1</v>
      </c>
      <c r="J90" s="235">
        <f>IF(VLOOKUP($Q90,kopir!$A$1:$L$90,10,FALSE)=N90,O90,0)</f>
        <v>1</v>
      </c>
      <c r="K90" s="235">
        <f>IF(VLOOKUP($Q90,kopir!$A$1:$L$90,11,FALSE)=N90,O90,0)</f>
        <v>1</v>
      </c>
      <c r="L90" s="235">
        <f>VLOOKUP($Q90,kopir!$A$1:$L$90,12,FALSE)</f>
        <v>0</v>
      </c>
      <c r="M90" s="235" t="str">
        <f>IF(G90=0,0,CONCATENATE(VLOOKUP($Q90,kopir!$A$1:$M$93,7,FALSE),G90))</f>
        <v>018</v>
      </c>
      <c r="N90" s="235">
        <f>VLOOKUP($Q90,kopir!$A$1:$M$91,7,FALSE)</f>
        <v>0</v>
      </c>
      <c r="O90" s="252">
        <f t="shared" si="5"/>
        <v>1</v>
      </c>
      <c r="P90" s="252">
        <f t="shared" si="6"/>
        <v>1</v>
      </c>
      <c r="Q90" s="235">
        <v>73</v>
      </c>
    </row>
    <row r="91" spans="1:17" x14ac:dyDescent="0.25">
      <c r="A91" s="245" t="str">
        <f>VLOOKUP($Q91,kopir!$A$1:$M$93,13,0)</f>
        <v>25.2</v>
      </c>
      <c r="B91" s="235">
        <f t="shared" si="4"/>
        <v>1</v>
      </c>
      <c r="C91" s="235">
        <f>VLOOKUP($Q91,kopir!$A$1:$L$90,2,FALSE)</f>
        <v>0</v>
      </c>
      <c r="D91" s="235">
        <f>VLOOKUP($Q91,kopir!$A$1:$L$90,3,FALSE)</f>
        <v>0</v>
      </c>
      <c r="E91" s="235">
        <f>VLOOKUP($Q91,kopir!$A$1:$L$90,4,FALSE)</f>
        <v>0</v>
      </c>
      <c r="F91" s="235"/>
      <c r="G91" s="235">
        <f>IF(VLOOKUP($Q91,kopir!$A$1:$L$90,6,FALSE)&gt;0,VLOOKUP($Q91,kopir!$A$1:$L$90,6,FALSE),0)</f>
        <v>18</v>
      </c>
      <c r="H91" s="235">
        <f>IF(VLOOKUP($Q91,kopir!$A$1:$L$90,8,FALSE)=N91,O91,0)</f>
        <v>1</v>
      </c>
      <c r="I91" s="235">
        <f>IF(VLOOKUP($Q91,kopir!$A$1:$L$90,9,FALSE)=N91,O91,0)</f>
        <v>1</v>
      </c>
      <c r="J91" s="235">
        <f>IF(VLOOKUP($Q91,kopir!$A$1:$L$90,10,FALSE)=N91,O91,0)</f>
        <v>1</v>
      </c>
      <c r="K91" s="235">
        <f>IF(VLOOKUP($Q91,kopir!$A$1:$L$90,11,FALSE)=N91,O91,0)</f>
        <v>1</v>
      </c>
      <c r="L91" s="235">
        <f>VLOOKUP($Q91,kopir!$A$1:$L$90,12,FALSE)</f>
        <v>0</v>
      </c>
      <c r="M91" s="235" t="str">
        <f>IF(G91=0,0,CONCATENATE(VLOOKUP($Q91,kopir!$A$1:$M$93,7,FALSE),G91))</f>
        <v>018</v>
      </c>
      <c r="N91" s="235">
        <f>VLOOKUP($Q91,kopir!$A$1:$M$91,7,FALSE)</f>
        <v>0</v>
      </c>
      <c r="O91" s="252">
        <f t="shared" si="5"/>
        <v>1</v>
      </c>
      <c r="P91" s="252">
        <f t="shared" si="6"/>
        <v>1</v>
      </c>
      <c r="Q91" s="235">
        <v>74</v>
      </c>
    </row>
    <row r="92" spans="1:17" x14ac:dyDescent="0.25">
      <c r="A92" s="245" t="str">
        <f>VLOOKUP($Q92,kopir!$A$1:$M$93,13,0)</f>
        <v>25.3</v>
      </c>
      <c r="B92" s="235">
        <f t="shared" si="4"/>
        <v>0</v>
      </c>
      <c r="C92" s="235">
        <f>VLOOKUP($Q92,kopir!$A$1:$L$90,2,FALSE)</f>
        <v>0</v>
      </c>
      <c r="D92" s="235">
        <f>VLOOKUP($Q92,kopir!$A$1:$L$90,3,FALSE)</f>
        <v>0</v>
      </c>
      <c r="E92" s="235">
        <f>VLOOKUP($Q92,kopir!$A$1:$L$90,4,FALSE)</f>
        <v>0</v>
      </c>
      <c r="F92" s="235"/>
      <c r="G92" s="235">
        <f>IF(VLOOKUP($Q92,kopir!$A$1:$L$90,6,FALSE)&gt;0,VLOOKUP($Q92,kopir!$A$1:$L$90,6,FALSE),0)</f>
        <v>0</v>
      </c>
      <c r="H92" s="235">
        <f>IF(VLOOKUP($Q92,kopir!$A$1:$L$90,8,FALSE)=N92,O92,0)</f>
        <v>1</v>
      </c>
      <c r="I92" s="235">
        <f>IF(VLOOKUP($Q92,kopir!$A$1:$L$90,9,FALSE)=N92,O92,0)</f>
        <v>1</v>
      </c>
      <c r="J92" s="235">
        <f>IF(VLOOKUP($Q92,kopir!$A$1:$L$90,10,FALSE)=N92,O92,0)</f>
        <v>1</v>
      </c>
      <c r="K92" s="235">
        <f>IF(VLOOKUP($Q92,kopir!$A$1:$L$90,11,FALSE)=N92,O92,0)</f>
        <v>1</v>
      </c>
      <c r="L92" s="235">
        <f>VLOOKUP($Q92,kopir!$A$1:$L$90,12,FALSE)</f>
        <v>0</v>
      </c>
      <c r="M92" s="235">
        <f>IF(G92=0,0,CONCATENATE(VLOOKUP($Q92,kopir!$A$1:$M$93,7,FALSE),G92))</f>
        <v>0</v>
      </c>
      <c r="N92" s="235">
        <f>VLOOKUP($Q92,kopir!$A$1:$M$91,7,FALSE)</f>
        <v>0</v>
      </c>
      <c r="O92" s="252">
        <f t="shared" si="5"/>
        <v>1</v>
      </c>
      <c r="P92" s="252">
        <f t="shared" si="6"/>
        <v>0</v>
      </c>
      <c r="Q92" s="235">
        <v>75</v>
      </c>
    </row>
    <row r="93" spans="1:17" x14ac:dyDescent="0.25">
      <c r="A93" s="245" t="str">
        <f>VLOOKUP($Q93,kopir!$A$1:$M$93,13,0)</f>
        <v>26.1</v>
      </c>
      <c r="B93" s="235">
        <f t="shared" si="4"/>
        <v>1</v>
      </c>
      <c r="C93" s="235">
        <f>VLOOKUP($Q93,kopir!$A$1:$L$90,2,FALSE)</f>
        <v>0</v>
      </c>
      <c r="D93" s="235">
        <f>VLOOKUP($Q93,kopir!$A$1:$L$90,3,FALSE)</f>
        <v>164</v>
      </c>
      <c r="E93" s="235">
        <f>VLOOKUP($Q93,kopir!$A$1:$L$90,4,FALSE)</f>
        <v>0</v>
      </c>
      <c r="F93" s="235"/>
      <c r="G93" s="235">
        <f>IF(VLOOKUP($Q93,kopir!$A$1:$L$90,6,FALSE)&gt;0,VLOOKUP($Q93,kopir!$A$1:$L$90,6,FALSE),0)</f>
        <v>18</v>
      </c>
      <c r="H93" s="235">
        <f>IF(VLOOKUP($Q93,kopir!$A$1:$L$90,8,FALSE)=N93,O93,0)</f>
        <v>1</v>
      </c>
      <c r="I93" s="235">
        <f>IF(VLOOKUP($Q93,kopir!$A$1:$L$90,9,FALSE)=N93,O93,0)</f>
        <v>1</v>
      </c>
      <c r="J93" s="235">
        <f>IF(VLOOKUP($Q93,kopir!$A$1:$L$90,10,FALSE)=N93,O93,0)</f>
        <v>1</v>
      </c>
      <c r="K93" s="235">
        <f>IF(VLOOKUP($Q93,kopir!$A$1:$L$90,11,FALSE)=N93,O93,0)</f>
        <v>1</v>
      </c>
      <c r="L93" s="235">
        <f>VLOOKUP($Q93,kopir!$A$1:$L$90,12,FALSE)</f>
        <v>0</v>
      </c>
      <c r="M93" s="235" t="str">
        <f>IF(G93=0,0,CONCATENATE(VLOOKUP($Q93,kopir!$A$1:$M$93,7,FALSE),G93))</f>
        <v>018</v>
      </c>
      <c r="N93" s="235">
        <f>VLOOKUP($Q93,kopir!$A$1:$M$91,7,FALSE)</f>
        <v>0</v>
      </c>
      <c r="O93" s="252">
        <f t="shared" si="5"/>
        <v>1</v>
      </c>
      <c r="P93" s="252">
        <f t="shared" si="6"/>
        <v>1</v>
      </c>
      <c r="Q93" s="235">
        <v>76</v>
      </c>
    </row>
    <row r="94" spans="1:17" x14ac:dyDescent="0.25">
      <c r="A94" s="245" t="str">
        <f>VLOOKUP($Q94,kopir!$A$1:$M$93,13,0)</f>
        <v>26.2</v>
      </c>
      <c r="B94" s="235">
        <f t="shared" si="4"/>
        <v>1</v>
      </c>
      <c r="C94" s="235">
        <f>VLOOKUP($Q94,kopir!$A$1:$L$90,2,FALSE)</f>
        <v>0</v>
      </c>
      <c r="D94" s="235">
        <f>VLOOKUP($Q94,kopir!$A$1:$L$90,3,FALSE)</f>
        <v>0</v>
      </c>
      <c r="E94" s="235">
        <f>VLOOKUP($Q94,kopir!$A$1:$L$90,4,FALSE)</f>
        <v>0</v>
      </c>
      <c r="F94" s="235"/>
      <c r="G94" s="235">
        <f>IF(VLOOKUP($Q94,kopir!$A$1:$L$90,6,FALSE)&gt;0,VLOOKUP($Q94,kopir!$A$1:$L$90,6,FALSE),0)</f>
        <v>18</v>
      </c>
      <c r="H94" s="235">
        <f>IF(VLOOKUP($Q94,kopir!$A$1:$L$90,8,FALSE)=N94,O94,0)</f>
        <v>1</v>
      </c>
      <c r="I94" s="235">
        <f>IF(VLOOKUP($Q94,kopir!$A$1:$L$90,9,FALSE)=N94,O94,0)</f>
        <v>1</v>
      </c>
      <c r="J94" s="235">
        <f>IF(VLOOKUP($Q94,kopir!$A$1:$L$90,10,FALSE)=N94,O94,0)</f>
        <v>1</v>
      </c>
      <c r="K94" s="235">
        <f>IF(VLOOKUP($Q94,kopir!$A$1:$L$90,11,FALSE)=N94,O94,0)</f>
        <v>1</v>
      </c>
      <c r="L94" s="235">
        <f>VLOOKUP($Q94,kopir!$A$1:$L$90,12,FALSE)</f>
        <v>0</v>
      </c>
      <c r="M94" s="235" t="str">
        <f>IF(G94=0,0,CONCATENATE(VLOOKUP($Q94,kopir!$A$1:$M$93,7,FALSE),G94))</f>
        <v>018</v>
      </c>
      <c r="N94" s="235">
        <f>VLOOKUP($Q94,kopir!$A$1:$M$91,7,FALSE)</f>
        <v>0</v>
      </c>
      <c r="O94" s="252">
        <f t="shared" si="5"/>
        <v>1</v>
      </c>
      <c r="P94" s="252">
        <f t="shared" si="6"/>
        <v>1</v>
      </c>
      <c r="Q94" s="235">
        <v>77</v>
      </c>
    </row>
    <row r="95" spans="1:17" x14ac:dyDescent="0.25">
      <c r="A95" s="245" t="str">
        <f>VLOOKUP($Q95,kopir!$A$1:$M$93,13,0)</f>
        <v>26.3</v>
      </c>
      <c r="B95" s="235">
        <f t="shared" si="4"/>
        <v>0</v>
      </c>
      <c r="C95" s="235">
        <f>VLOOKUP($Q95,kopir!$A$1:$L$90,2,FALSE)</f>
        <v>0</v>
      </c>
      <c r="D95" s="235">
        <f>VLOOKUP($Q95,kopir!$A$1:$L$90,3,FALSE)</f>
        <v>0</v>
      </c>
      <c r="E95" s="235">
        <f>VLOOKUP($Q95,kopir!$A$1:$L$90,4,FALSE)</f>
        <v>0</v>
      </c>
      <c r="F95" s="235"/>
      <c r="G95" s="235">
        <f>IF(VLOOKUP($Q95,kopir!$A$1:$L$90,6,FALSE)&gt;0,VLOOKUP($Q95,kopir!$A$1:$L$90,6,FALSE),0)</f>
        <v>0</v>
      </c>
      <c r="H95" s="235">
        <f>IF(VLOOKUP($Q95,kopir!$A$1:$L$90,8,FALSE)=N95,O95,0)</f>
        <v>1</v>
      </c>
      <c r="I95" s="235">
        <f>IF(VLOOKUP($Q95,kopir!$A$1:$L$90,9,FALSE)=N95,O95,0)</f>
        <v>1</v>
      </c>
      <c r="J95" s="235">
        <f>IF(VLOOKUP($Q95,kopir!$A$1:$L$90,10,FALSE)=N95,O95,0)</f>
        <v>1</v>
      </c>
      <c r="K95" s="235">
        <f>IF(VLOOKUP($Q95,kopir!$A$1:$L$90,11,FALSE)=N95,O95,0)</f>
        <v>1</v>
      </c>
      <c r="L95" s="235">
        <f>VLOOKUP($Q95,kopir!$A$1:$L$90,12,FALSE)</f>
        <v>0</v>
      </c>
      <c r="M95" s="235">
        <f>IF(G95=0,0,CONCATENATE(VLOOKUP($Q95,kopir!$A$1:$M$93,7,FALSE),G95))</f>
        <v>0</v>
      </c>
      <c r="N95" s="235">
        <f>VLOOKUP($Q95,kopir!$A$1:$M$91,7,FALSE)</f>
        <v>0</v>
      </c>
      <c r="O95" s="252">
        <f t="shared" si="5"/>
        <v>1</v>
      </c>
      <c r="P95" s="252">
        <f t="shared" si="6"/>
        <v>0</v>
      </c>
      <c r="Q95" s="235">
        <v>78</v>
      </c>
    </row>
    <row r="96" spans="1:17" x14ac:dyDescent="0.25">
      <c r="A96" s="245" t="str">
        <f>VLOOKUP($Q96,kopir!$A$1:$M$93,13,0)</f>
        <v>27.1</v>
      </c>
      <c r="B96" s="235">
        <f t="shared" si="4"/>
        <v>1</v>
      </c>
      <c r="C96" s="235">
        <f>VLOOKUP($Q96,kopir!$A$1:$L$90,2,FALSE)</f>
        <v>0</v>
      </c>
      <c r="D96" s="235">
        <f>VLOOKUP($Q96,kopir!$A$1:$L$90,3,FALSE)</f>
        <v>164</v>
      </c>
      <c r="E96" s="235">
        <f>VLOOKUP($Q96,kopir!$A$1:$L$90,4,FALSE)</f>
        <v>0</v>
      </c>
      <c r="F96" s="235"/>
      <c r="G96" s="235">
        <f>IF(VLOOKUP($Q96,kopir!$A$1:$L$90,6,FALSE)&gt;0,VLOOKUP($Q96,kopir!$A$1:$L$90,6,FALSE),0)</f>
        <v>18</v>
      </c>
      <c r="H96" s="235">
        <f>IF(VLOOKUP($Q96,kopir!$A$1:$L$90,8,FALSE)=N96,O96,0)</f>
        <v>1</v>
      </c>
      <c r="I96" s="235">
        <f>IF(VLOOKUP($Q96,kopir!$A$1:$L$90,9,FALSE)=N96,O96,0)</f>
        <v>1</v>
      </c>
      <c r="J96" s="235">
        <f>IF(VLOOKUP($Q96,kopir!$A$1:$L$90,10,FALSE)=N96,O96,0)</f>
        <v>1</v>
      </c>
      <c r="K96" s="235">
        <f>IF(VLOOKUP($Q96,kopir!$A$1:$L$90,11,FALSE)=N96,O96,0)</f>
        <v>1</v>
      </c>
      <c r="L96" s="235">
        <f>VLOOKUP($Q96,kopir!$A$1:$L$90,12,FALSE)</f>
        <v>0</v>
      </c>
      <c r="M96" s="235" t="str">
        <f>IF(G96=0,0,CONCATENATE(VLOOKUP($Q96,kopir!$A$1:$M$93,7,FALSE),G96))</f>
        <v>018</v>
      </c>
      <c r="N96" s="235">
        <f>VLOOKUP($Q96,kopir!$A$1:$M$91,7,FALSE)</f>
        <v>0</v>
      </c>
      <c r="O96" s="252">
        <f t="shared" si="5"/>
        <v>1</v>
      </c>
      <c r="P96" s="252">
        <f t="shared" si="6"/>
        <v>1</v>
      </c>
      <c r="Q96" s="235">
        <v>79</v>
      </c>
    </row>
    <row r="97" spans="1:17" x14ac:dyDescent="0.25">
      <c r="A97" s="245" t="str">
        <f>VLOOKUP($Q97,kopir!$A$1:$M$93,13,0)</f>
        <v>27.2</v>
      </c>
      <c r="B97" s="235">
        <f t="shared" si="4"/>
        <v>1</v>
      </c>
      <c r="C97" s="235">
        <f>VLOOKUP($Q97,kopir!$A$1:$L$90,2,FALSE)</f>
        <v>0</v>
      </c>
      <c r="D97" s="235">
        <f>VLOOKUP($Q97,kopir!$A$1:$L$90,3,FALSE)</f>
        <v>0</v>
      </c>
      <c r="E97" s="235">
        <f>VLOOKUP($Q97,kopir!$A$1:$L$90,4,FALSE)</f>
        <v>0</v>
      </c>
      <c r="F97" s="235"/>
      <c r="G97" s="235">
        <f>IF(VLOOKUP($Q97,kopir!$A$1:$L$90,6,FALSE)&gt;0,VLOOKUP($Q97,kopir!$A$1:$L$90,6,FALSE),0)</f>
        <v>18</v>
      </c>
      <c r="H97" s="235">
        <f>IF(VLOOKUP($Q97,kopir!$A$1:$L$90,8,FALSE)=N97,O97,0)</f>
        <v>1</v>
      </c>
      <c r="I97" s="235">
        <f>IF(VLOOKUP($Q97,kopir!$A$1:$L$90,9,FALSE)=N97,O97,0)</f>
        <v>1</v>
      </c>
      <c r="J97" s="235">
        <f>IF(VLOOKUP($Q97,kopir!$A$1:$L$90,10,FALSE)=N97,O97,0)</f>
        <v>1</v>
      </c>
      <c r="K97" s="235">
        <f>IF(VLOOKUP($Q97,kopir!$A$1:$L$90,11,FALSE)=N97,O97,0)</f>
        <v>1</v>
      </c>
      <c r="L97" s="235">
        <f>VLOOKUP($Q97,kopir!$A$1:$L$90,12,FALSE)</f>
        <v>0</v>
      </c>
      <c r="M97" s="235" t="str">
        <f>IF(G97=0,0,CONCATENATE(VLOOKUP($Q97,kopir!$A$1:$M$93,7,FALSE),G97))</f>
        <v>018</v>
      </c>
      <c r="N97" s="235">
        <f>VLOOKUP($Q97,kopir!$A$1:$M$91,7,FALSE)</f>
        <v>0</v>
      </c>
      <c r="O97" s="252">
        <f t="shared" si="5"/>
        <v>1</v>
      </c>
      <c r="P97" s="252">
        <f t="shared" si="6"/>
        <v>1</v>
      </c>
      <c r="Q97" s="235">
        <v>80</v>
      </c>
    </row>
    <row r="98" spans="1:17" x14ac:dyDescent="0.25">
      <c r="A98" s="245" t="str">
        <f>VLOOKUP($Q98,kopir!$A$1:$M$93,13,0)</f>
        <v>27.3</v>
      </c>
      <c r="B98" s="235">
        <f t="shared" si="4"/>
        <v>0</v>
      </c>
      <c r="C98" s="235">
        <f>VLOOKUP($Q98,kopir!$A$1:$L$90,2,FALSE)</f>
        <v>0</v>
      </c>
      <c r="D98" s="235">
        <f>VLOOKUP($Q98,kopir!$A$1:$L$90,3,FALSE)</f>
        <v>0</v>
      </c>
      <c r="E98" s="235">
        <f>VLOOKUP($Q98,kopir!$A$1:$L$90,4,FALSE)</f>
        <v>0</v>
      </c>
      <c r="F98" s="235"/>
      <c r="G98" s="235">
        <f>IF(VLOOKUP($Q98,kopir!$A$1:$L$90,6,FALSE)&gt;0,VLOOKUP($Q98,kopir!$A$1:$L$90,6,FALSE),0)</f>
        <v>0</v>
      </c>
      <c r="H98" s="235">
        <f>IF(VLOOKUP($Q98,kopir!$A$1:$L$90,8,FALSE)=N98,O98,0)</f>
        <v>1</v>
      </c>
      <c r="I98" s="235">
        <f>IF(VLOOKUP($Q98,kopir!$A$1:$L$90,9,FALSE)=N98,O98,0)</f>
        <v>1</v>
      </c>
      <c r="J98" s="235">
        <f>IF(VLOOKUP($Q98,kopir!$A$1:$L$90,10,FALSE)=N98,O98,0)</f>
        <v>1</v>
      </c>
      <c r="K98" s="235">
        <f>IF(VLOOKUP($Q98,kopir!$A$1:$L$90,11,FALSE)=N98,O98,0)</f>
        <v>1</v>
      </c>
      <c r="L98" s="235">
        <f>VLOOKUP($Q98,kopir!$A$1:$L$90,12,FALSE)</f>
        <v>0</v>
      </c>
      <c r="M98" s="235">
        <f>IF(G98=0,0,CONCATENATE(VLOOKUP($Q98,kopir!$A$1:$M$93,7,FALSE),G98))</f>
        <v>0</v>
      </c>
      <c r="N98" s="235">
        <f>VLOOKUP($Q98,kopir!$A$1:$M$91,7,FALSE)</f>
        <v>0</v>
      </c>
      <c r="O98" s="252">
        <f t="shared" si="5"/>
        <v>1</v>
      </c>
      <c r="P98" s="252">
        <f t="shared" si="6"/>
        <v>0</v>
      </c>
      <c r="Q98" s="235">
        <v>81</v>
      </c>
    </row>
    <row r="99" spans="1:17" x14ac:dyDescent="0.25">
      <c r="A99" s="245" t="str">
        <f>VLOOKUP($Q99,kopir!$A$1:$M$93,13,0)</f>
        <v>28.1</v>
      </c>
      <c r="B99" s="235">
        <f t="shared" si="4"/>
        <v>1</v>
      </c>
      <c r="C99" s="235">
        <f>VLOOKUP($Q99,kopir!$A$1:$L$90,2,FALSE)</f>
        <v>0</v>
      </c>
      <c r="D99" s="235">
        <f>VLOOKUP($Q99,kopir!$A$1:$L$90,3,FALSE)</f>
        <v>164</v>
      </c>
      <c r="E99" s="235">
        <f>VLOOKUP($Q99,kopir!$A$1:$L$90,4,FALSE)</f>
        <v>0</v>
      </c>
      <c r="F99" s="235"/>
      <c r="G99" s="235">
        <f>IF(VLOOKUP($Q99,kopir!$A$1:$L$90,6,FALSE)&gt;0,VLOOKUP($Q99,kopir!$A$1:$L$90,6,FALSE),0)</f>
        <v>18</v>
      </c>
      <c r="H99" s="235">
        <f>IF(VLOOKUP($Q99,kopir!$A$1:$L$90,8,FALSE)=N99,O99,0)</f>
        <v>1</v>
      </c>
      <c r="I99" s="235">
        <f>IF(VLOOKUP($Q99,kopir!$A$1:$L$90,9,FALSE)=N99,O99,0)</f>
        <v>1</v>
      </c>
      <c r="J99" s="235">
        <f>IF(VLOOKUP($Q99,kopir!$A$1:$L$90,10,FALSE)=N99,O99,0)</f>
        <v>1</v>
      </c>
      <c r="K99" s="235">
        <f>IF(VLOOKUP($Q99,kopir!$A$1:$L$90,11,FALSE)=N99,O99,0)</f>
        <v>1</v>
      </c>
      <c r="L99" s="235">
        <f>VLOOKUP($Q99,kopir!$A$1:$L$90,12,FALSE)</f>
        <v>0</v>
      </c>
      <c r="M99" s="235" t="str">
        <f>IF(G99=0,0,CONCATENATE(VLOOKUP($Q99,kopir!$A$1:$M$93,7,FALSE),G99))</f>
        <v>018</v>
      </c>
      <c r="N99" s="235">
        <f>VLOOKUP($Q99,kopir!$A$1:$M$91,7,FALSE)</f>
        <v>0</v>
      </c>
      <c r="O99" s="252">
        <f t="shared" si="5"/>
        <v>1</v>
      </c>
      <c r="P99" s="252">
        <f t="shared" si="6"/>
        <v>1</v>
      </c>
      <c r="Q99" s="235">
        <v>82</v>
      </c>
    </row>
    <row r="100" spans="1:17" x14ac:dyDescent="0.25">
      <c r="A100" s="245" t="str">
        <f>VLOOKUP($Q100,kopir!$A$1:$M$93,13,0)</f>
        <v>28.2</v>
      </c>
      <c r="B100" s="235">
        <f t="shared" si="4"/>
        <v>1</v>
      </c>
      <c r="C100" s="235">
        <f>VLOOKUP($Q100,kopir!$A$1:$L$90,2,FALSE)</f>
        <v>0</v>
      </c>
      <c r="D100" s="235">
        <f>VLOOKUP($Q100,kopir!$A$1:$L$90,3,FALSE)</f>
        <v>0</v>
      </c>
      <c r="E100" s="235">
        <f>VLOOKUP($Q100,kopir!$A$1:$L$90,4,FALSE)</f>
        <v>0</v>
      </c>
      <c r="F100" s="235"/>
      <c r="G100" s="235">
        <f>IF(VLOOKUP($Q100,kopir!$A$1:$L$90,6,FALSE)&gt;0,VLOOKUP($Q100,kopir!$A$1:$L$90,6,FALSE),0)</f>
        <v>18</v>
      </c>
      <c r="H100" s="235">
        <f>IF(VLOOKUP($Q100,kopir!$A$1:$L$90,8,FALSE)=N100,O100,0)</f>
        <v>1</v>
      </c>
      <c r="I100" s="235">
        <f>IF(VLOOKUP($Q100,kopir!$A$1:$L$90,9,FALSE)=N100,O100,0)</f>
        <v>1</v>
      </c>
      <c r="J100" s="235">
        <f>IF(VLOOKUP($Q100,kopir!$A$1:$L$90,10,FALSE)=N100,O100,0)</f>
        <v>1</v>
      </c>
      <c r="K100" s="235">
        <f>IF(VLOOKUP($Q100,kopir!$A$1:$L$90,11,FALSE)=N100,O100,0)</f>
        <v>1</v>
      </c>
      <c r="L100" s="235">
        <f>VLOOKUP($Q100,kopir!$A$1:$L$90,12,FALSE)</f>
        <v>0</v>
      </c>
      <c r="M100" s="235" t="str">
        <f>IF(G100=0,0,CONCATENATE(VLOOKUP($Q100,kopir!$A$1:$M$93,7,FALSE),G100))</f>
        <v>018</v>
      </c>
      <c r="N100" s="235">
        <f>VLOOKUP($Q100,kopir!$A$1:$M$91,7,FALSE)</f>
        <v>0</v>
      </c>
      <c r="O100" s="252">
        <f t="shared" si="5"/>
        <v>1</v>
      </c>
      <c r="P100" s="252">
        <f t="shared" si="6"/>
        <v>1</v>
      </c>
      <c r="Q100" s="235">
        <v>83</v>
      </c>
    </row>
    <row r="101" spans="1:17" x14ac:dyDescent="0.25">
      <c r="A101" s="245" t="str">
        <f>VLOOKUP($Q101,kopir!$A$1:$M$93,13,0)</f>
        <v>28.3</v>
      </c>
      <c r="B101" s="235">
        <f t="shared" si="4"/>
        <v>0</v>
      </c>
      <c r="C101" s="235">
        <f>VLOOKUP($Q101,kopir!$A$1:$L$90,2,FALSE)</f>
        <v>0</v>
      </c>
      <c r="D101" s="235">
        <f>VLOOKUP($Q101,kopir!$A$1:$L$90,3,FALSE)</f>
        <v>0</v>
      </c>
      <c r="E101" s="235">
        <f>VLOOKUP($Q101,kopir!$A$1:$L$90,4,FALSE)</f>
        <v>0</v>
      </c>
      <c r="F101" s="235"/>
      <c r="G101" s="235">
        <f>IF(VLOOKUP($Q101,kopir!$A$1:$L$90,6,FALSE)&gt;0,VLOOKUP($Q101,kopir!$A$1:$L$90,6,FALSE),0)</f>
        <v>0</v>
      </c>
      <c r="H101" s="235">
        <f>IF(VLOOKUP($Q101,kopir!$A$1:$L$90,8,FALSE)=N101,O101,0)</f>
        <v>1</v>
      </c>
      <c r="I101" s="235">
        <f>IF(VLOOKUP($Q101,kopir!$A$1:$L$90,9,FALSE)=N101,O101,0)</f>
        <v>1</v>
      </c>
      <c r="J101" s="235">
        <f>IF(VLOOKUP($Q101,kopir!$A$1:$L$90,10,FALSE)=N101,O101,0)</f>
        <v>1</v>
      </c>
      <c r="K101" s="235">
        <f>IF(VLOOKUP($Q101,kopir!$A$1:$L$90,11,FALSE)=N101,O101,0)</f>
        <v>1</v>
      </c>
      <c r="L101" s="235">
        <f>VLOOKUP($Q101,kopir!$A$1:$L$90,12,FALSE)</f>
        <v>0</v>
      </c>
      <c r="M101" s="235">
        <f>IF(G101=0,0,CONCATENATE(VLOOKUP($Q101,kopir!$A$1:$M$93,7,FALSE),G101))</f>
        <v>0</v>
      </c>
      <c r="N101" s="235">
        <f>VLOOKUP($Q101,kopir!$A$1:$M$91,7,FALSE)</f>
        <v>0</v>
      </c>
      <c r="O101" s="252">
        <f t="shared" si="5"/>
        <v>1</v>
      </c>
      <c r="P101" s="252">
        <f t="shared" si="6"/>
        <v>0</v>
      </c>
      <c r="Q101" s="235">
        <v>84</v>
      </c>
    </row>
    <row r="102" spans="1:17" x14ac:dyDescent="0.25">
      <c r="A102" s="245" t="str">
        <f>VLOOKUP($Q102,kopir!$A$1:$M$93,13,0)</f>
        <v>29.1</v>
      </c>
      <c r="B102" s="235">
        <f t="shared" si="4"/>
        <v>1</v>
      </c>
      <c r="C102" s="235">
        <f>VLOOKUP($Q102,kopir!$A$1:$L$90,2,FALSE)</f>
        <v>0</v>
      </c>
      <c r="D102" s="235">
        <f>VLOOKUP($Q102,kopir!$A$1:$L$90,3,FALSE)</f>
        <v>164</v>
      </c>
      <c r="E102" s="235">
        <f>VLOOKUP($Q102,kopir!$A$1:$L$90,4,FALSE)</f>
        <v>0</v>
      </c>
      <c r="F102" s="235"/>
      <c r="G102" s="235">
        <f>IF(VLOOKUP($Q102,kopir!$A$1:$L$90,6,FALSE)&gt;0,VLOOKUP($Q102,kopir!$A$1:$L$90,6,FALSE),0)</f>
        <v>18</v>
      </c>
      <c r="H102" s="235">
        <f>IF(VLOOKUP($Q102,kopir!$A$1:$L$90,8,FALSE)=N102,O102,0)</f>
        <v>1</v>
      </c>
      <c r="I102" s="235">
        <f>IF(VLOOKUP($Q102,kopir!$A$1:$L$90,9,FALSE)=N102,O102,0)</f>
        <v>1</v>
      </c>
      <c r="J102" s="235">
        <f>IF(VLOOKUP($Q102,kopir!$A$1:$L$90,10,FALSE)=N102,O102,0)</f>
        <v>1</v>
      </c>
      <c r="K102" s="235">
        <f>IF(VLOOKUP($Q102,kopir!$A$1:$L$90,11,FALSE)=N102,O102,0)</f>
        <v>1</v>
      </c>
      <c r="L102" s="235">
        <f>VLOOKUP($Q102,kopir!$A$1:$L$90,12,FALSE)</f>
        <v>0</v>
      </c>
      <c r="M102" s="235" t="str">
        <f>IF(G102=0,0,CONCATENATE(VLOOKUP($Q102,kopir!$A$1:$M$93,7,FALSE),G102))</f>
        <v>018</v>
      </c>
      <c r="N102" s="235">
        <f>VLOOKUP($Q102,kopir!$A$1:$M$91,7,FALSE)</f>
        <v>0</v>
      </c>
      <c r="O102" s="252">
        <f t="shared" si="5"/>
        <v>1</v>
      </c>
      <c r="P102" s="252">
        <f t="shared" si="6"/>
        <v>1</v>
      </c>
      <c r="Q102" s="235">
        <v>85</v>
      </c>
    </row>
    <row r="103" spans="1:17" x14ac:dyDescent="0.25">
      <c r="A103" s="245" t="str">
        <f>VLOOKUP($Q103,kopir!$A$1:$M$93,13,0)</f>
        <v>29.2</v>
      </c>
      <c r="B103" s="235">
        <f t="shared" si="4"/>
        <v>1</v>
      </c>
      <c r="C103" s="235">
        <f>VLOOKUP($Q103,kopir!$A$1:$L$90,2,FALSE)</f>
        <v>0</v>
      </c>
      <c r="D103" s="235">
        <f>VLOOKUP($Q103,kopir!$A$1:$L$90,3,FALSE)</f>
        <v>0</v>
      </c>
      <c r="E103" s="235">
        <f>VLOOKUP($Q103,kopir!$A$1:$L$90,4,FALSE)</f>
        <v>0</v>
      </c>
      <c r="F103" s="235"/>
      <c r="G103" s="235">
        <f>IF(VLOOKUP($Q103,kopir!$A$1:$L$90,6,FALSE)&gt;0,VLOOKUP($Q103,kopir!$A$1:$L$90,6,FALSE),0)</f>
        <v>18</v>
      </c>
      <c r="H103" s="235">
        <f>IF(VLOOKUP($Q103,kopir!$A$1:$L$90,8,FALSE)=N103,O103,0)</f>
        <v>1</v>
      </c>
      <c r="I103" s="235">
        <f>IF(VLOOKUP($Q103,kopir!$A$1:$L$90,9,FALSE)=N103,O103,0)</f>
        <v>1</v>
      </c>
      <c r="J103" s="235">
        <f>IF(VLOOKUP($Q103,kopir!$A$1:$L$90,10,FALSE)=N103,O103,0)</f>
        <v>1</v>
      </c>
      <c r="K103" s="235">
        <f>IF(VLOOKUP($Q103,kopir!$A$1:$L$90,11,FALSE)=N103,O103,0)</f>
        <v>1</v>
      </c>
      <c r="L103" s="235">
        <f>VLOOKUP($Q103,kopir!$A$1:$L$90,12,FALSE)</f>
        <v>0</v>
      </c>
      <c r="M103" s="235" t="str">
        <f>IF(G103=0,0,CONCATENATE(VLOOKUP($Q103,kopir!$A$1:$M$93,7,FALSE),G103))</f>
        <v>018</v>
      </c>
      <c r="N103" s="235">
        <f>VLOOKUP($Q103,kopir!$A$1:$M$91,7,FALSE)</f>
        <v>0</v>
      </c>
      <c r="O103" s="252">
        <f t="shared" si="5"/>
        <v>1</v>
      </c>
      <c r="P103" s="252">
        <f t="shared" si="6"/>
        <v>1</v>
      </c>
      <c r="Q103" s="235">
        <v>86</v>
      </c>
    </row>
    <row r="104" spans="1:17" x14ac:dyDescent="0.25">
      <c r="A104" s="245" t="str">
        <f>VLOOKUP($Q104,kopir!$A$1:$M$93,13,0)</f>
        <v>29.3</v>
      </c>
      <c r="B104" s="235">
        <f t="shared" si="4"/>
        <v>0</v>
      </c>
      <c r="C104" s="235">
        <f>VLOOKUP($Q104,kopir!$A$1:$L$90,2,FALSE)</f>
        <v>0</v>
      </c>
      <c r="D104" s="235">
        <f>VLOOKUP($Q104,kopir!$A$1:$L$90,3,FALSE)</f>
        <v>0</v>
      </c>
      <c r="E104" s="235">
        <f>VLOOKUP($Q104,kopir!$A$1:$L$90,4,FALSE)</f>
        <v>0</v>
      </c>
      <c r="F104" s="235"/>
      <c r="G104" s="235">
        <f>IF(VLOOKUP($Q104,kopir!$A$1:$L$90,6,FALSE)&gt;0,VLOOKUP($Q104,kopir!$A$1:$L$90,6,FALSE),0)</f>
        <v>0</v>
      </c>
      <c r="H104" s="235">
        <f>IF(VLOOKUP($Q104,kopir!$A$1:$L$90,8,FALSE)=N104,O104,0)</f>
        <v>1</v>
      </c>
      <c r="I104" s="235">
        <f>IF(VLOOKUP($Q104,kopir!$A$1:$L$90,9,FALSE)=N104,O104,0)</f>
        <v>1</v>
      </c>
      <c r="J104" s="235">
        <f>IF(VLOOKUP($Q104,kopir!$A$1:$L$90,10,FALSE)=N104,O104,0)</f>
        <v>1</v>
      </c>
      <c r="K104" s="235">
        <f>IF(VLOOKUP($Q104,kopir!$A$1:$L$90,11,FALSE)=N104,O104,0)</f>
        <v>1</v>
      </c>
      <c r="L104" s="235">
        <f>VLOOKUP($Q104,kopir!$A$1:$L$90,12,FALSE)</f>
        <v>0</v>
      </c>
      <c r="M104" s="235">
        <f>IF(G104=0,0,CONCATENATE(VLOOKUP($Q104,kopir!$A$1:$M$93,7,FALSE),G104))</f>
        <v>0</v>
      </c>
      <c r="N104" s="235">
        <f>VLOOKUP($Q104,kopir!$A$1:$M$91,7,FALSE)</f>
        <v>0</v>
      </c>
      <c r="O104" s="252">
        <f t="shared" si="5"/>
        <v>1</v>
      </c>
      <c r="P104" s="252">
        <f t="shared" si="6"/>
        <v>0</v>
      </c>
      <c r="Q104" s="235">
        <v>87</v>
      </c>
    </row>
    <row r="105" spans="1:17" x14ac:dyDescent="0.25">
      <c r="A105" s="245" t="str">
        <f>VLOOKUP($Q105,kopir!$A$1:$M$93,13,0)</f>
        <v>30.1</v>
      </c>
      <c r="B105" s="235">
        <f t="shared" si="4"/>
        <v>1</v>
      </c>
      <c r="C105" s="235">
        <f>VLOOKUP($Q105,kopir!$A$1:$L$90,2,FALSE)</f>
        <v>0</v>
      </c>
      <c r="D105" s="235">
        <f>VLOOKUP($Q105,kopir!$A$1:$L$90,3,FALSE)</f>
        <v>164</v>
      </c>
      <c r="E105" s="235">
        <f>VLOOKUP($Q105,kopir!$A$1:$L$90,4,FALSE)</f>
        <v>0</v>
      </c>
      <c r="F105" s="235"/>
      <c r="G105" s="235">
        <f>IF(VLOOKUP($Q105,kopir!$A$1:$L$90,6,FALSE)&gt;0,VLOOKUP($Q105,kopir!$A$1:$L$90,6,FALSE),0)</f>
        <v>18</v>
      </c>
      <c r="H105" s="235">
        <f>IF(VLOOKUP($Q105,kopir!$A$1:$L$90,8,FALSE)=N105,O105,0)</f>
        <v>1</v>
      </c>
      <c r="I105" s="235">
        <f>IF(VLOOKUP($Q105,kopir!$A$1:$L$90,9,FALSE)=N105,O105,0)</f>
        <v>1</v>
      </c>
      <c r="J105" s="235">
        <f>IF(VLOOKUP($Q105,kopir!$A$1:$L$90,10,FALSE)=N105,O105,0)</f>
        <v>1</v>
      </c>
      <c r="K105" s="235">
        <f>IF(VLOOKUP($Q105,kopir!$A$1:$L$90,11,FALSE)=N105,O105,0)</f>
        <v>1</v>
      </c>
      <c r="L105" s="235">
        <f>VLOOKUP($Q105,kopir!$A$1:$L$90,12,FALSE)</f>
        <v>0</v>
      </c>
      <c r="M105" s="235" t="str">
        <f>IF(G105=0,0,CONCATENATE(VLOOKUP($Q105,kopir!$A$1:$M$93,7,FALSE),G105))</f>
        <v>018</v>
      </c>
      <c r="N105" s="235">
        <f>VLOOKUP($Q105,kopir!$A$1:$M$91,7,FALSE)</f>
        <v>0</v>
      </c>
      <c r="O105" s="252">
        <f t="shared" si="5"/>
        <v>1</v>
      </c>
      <c r="P105" s="252">
        <f t="shared" si="6"/>
        <v>1</v>
      </c>
      <c r="Q105" s="235">
        <v>88</v>
      </c>
    </row>
    <row r="106" spans="1:17" x14ac:dyDescent="0.25">
      <c r="A106" s="245" t="str">
        <f>VLOOKUP($Q106,kopir!$A$1:$M$93,13,0)</f>
        <v>30.2</v>
      </c>
      <c r="B106" s="235">
        <f t="shared" si="4"/>
        <v>1</v>
      </c>
      <c r="C106" s="235">
        <f>VLOOKUP($Q106,kopir!$A$1:$L$90,2,FALSE)</f>
        <v>0</v>
      </c>
      <c r="D106" s="235">
        <f>VLOOKUP($Q106,kopir!$A$1:$L$90,3,FALSE)</f>
        <v>0</v>
      </c>
      <c r="E106" s="235">
        <f>VLOOKUP($Q106,kopir!$A$1:$L$90,4,FALSE)</f>
        <v>0</v>
      </c>
      <c r="F106" s="235"/>
      <c r="G106" s="235">
        <f>IF(VLOOKUP($Q106,kopir!$A$1:$L$90,6,FALSE)&gt;0,VLOOKUP($Q106,kopir!$A$1:$L$90,6,FALSE),0)</f>
        <v>18</v>
      </c>
      <c r="H106" s="235">
        <f>IF(VLOOKUP($Q106,kopir!$A$1:$L$90,8,FALSE)=N106,O106,0)</f>
        <v>1</v>
      </c>
      <c r="I106" s="235">
        <f>IF(VLOOKUP($Q106,kopir!$A$1:$L$90,9,FALSE)=N106,O106,0)</f>
        <v>1</v>
      </c>
      <c r="J106" s="235">
        <f>IF(VLOOKUP($Q106,kopir!$A$1:$L$90,10,FALSE)=N106,O106,0)</f>
        <v>1</v>
      </c>
      <c r="K106" s="235">
        <f>IF(VLOOKUP($Q106,kopir!$A$1:$L$90,11,FALSE)=N106,O106,0)</f>
        <v>1</v>
      </c>
      <c r="L106" s="235">
        <f>VLOOKUP($Q106,kopir!$A$1:$L$90,12,FALSE)</f>
        <v>0</v>
      </c>
      <c r="M106" s="235" t="str">
        <f>IF(G106=0,0,CONCATENATE(VLOOKUP($Q106,kopir!$A$1:$M$93,7,FALSE),G106))</f>
        <v>018</v>
      </c>
      <c r="N106" s="235">
        <f>VLOOKUP($Q106,kopir!$A$1:$M$91,7,FALSE)</f>
        <v>0</v>
      </c>
      <c r="O106" s="252">
        <f t="shared" si="5"/>
        <v>1</v>
      </c>
      <c r="P106" s="252">
        <f t="shared" si="6"/>
        <v>1</v>
      </c>
      <c r="Q106" s="235">
        <v>89</v>
      </c>
    </row>
    <row r="107" spans="1:17" x14ac:dyDescent="0.25">
      <c r="A107" s="245" t="str">
        <f>VLOOKUP($Q107,kopir!$A$1:$M$93,13,0)</f>
        <v>30.3</v>
      </c>
      <c r="B107" s="235">
        <f t="shared" si="4"/>
        <v>0</v>
      </c>
      <c r="C107" s="235">
        <f>VLOOKUP($Q107,kopir!$A$1:$L$90,2,FALSE)</f>
        <v>0</v>
      </c>
      <c r="D107" s="235">
        <f>VLOOKUP($Q107,kopir!$A$1:$L$90,3,FALSE)</f>
        <v>0</v>
      </c>
      <c r="E107" s="235">
        <f>VLOOKUP($Q107,kopir!$A$1:$L$90,4,FALSE)</f>
        <v>0</v>
      </c>
      <c r="F107" s="235"/>
      <c r="G107" s="235">
        <f>IF(VLOOKUP($Q107,kopir!$A$1:$L$90,6,FALSE)&gt;0,VLOOKUP($Q107,kopir!$A$1:$L$90,6,FALSE),0)</f>
        <v>0</v>
      </c>
      <c r="H107" s="235">
        <f>IF(VLOOKUP($Q107,kopir!$A$1:$L$90,8,FALSE)=N107,O107,0)</f>
        <v>1</v>
      </c>
      <c r="I107" s="235">
        <f>IF(VLOOKUP($Q107,kopir!$A$1:$L$90,9,FALSE)=N107,O107,0)</f>
        <v>1</v>
      </c>
      <c r="J107" s="235">
        <f>IF(VLOOKUP($Q107,kopir!$A$1:$L$90,10,FALSE)=N107,O107,0)</f>
        <v>1</v>
      </c>
      <c r="K107" s="235">
        <f>IF(VLOOKUP($Q107,kopir!$A$1:$L$90,11,FALSE)=N107,O107,0)</f>
        <v>1</v>
      </c>
      <c r="L107" s="235">
        <f>VLOOKUP($Q107,kopir!$A$1:$L$90,12,FALSE)</f>
        <v>0</v>
      </c>
      <c r="M107" s="235">
        <f>IF(G107=0,0,CONCATENATE(VLOOKUP($Q107,kopir!$A$1:$M$93,7,FALSE),G107))</f>
        <v>0</v>
      </c>
      <c r="N107" s="235">
        <f>VLOOKUP($Q107,kopir!$A$1:$M$91,7,FALSE)</f>
        <v>0</v>
      </c>
      <c r="O107" s="252">
        <f t="shared" si="5"/>
        <v>1</v>
      </c>
      <c r="P107" s="252">
        <f t="shared" si="6"/>
        <v>0</v>
      </c>
      <c r="Q107" s="235">
        <v>90</v>
      </c>
    </row>
    <row r="108" spans="1:17" x14ac:dyDescent="0.25">
      <c r="A108" s="224"/>
      <c r="B108" s="224"/>
      <c r="C108" s="224"/>
      <c r="D108" s="224"/>
      <c r="E108" s="224"/>
      <c r="F108" s="224"/>
      <c r="G108" s="224"/>
      <c r="H108" s="224"/>
      <c r="I108" s="224"/>
      <c r="J108" s="246"/>
      <c r="K108" s="246"/>
      <c r="L108" s="246"/>
      <c r="M108" s="247"/>
      <c r="N108" s="247"/>
      <c r="O108" s="247"/>
      <c r="P108" s="247"/>
      <c r="Q108" s="247"/>
    </row>
    <row r="109" spans="1:17" x14ac:dyDescent="0.25">
      <c r="A109" s="228" t="s">
        <v>34</v>
      </c>
      <c r="B109" s="228"/>
      <c r="C109" s="224"/>
      <c r="D109" s="224"/>
      <c r="E109" s="224"/>
      <c r="F109" s="224"/>
      <c r="G109" s="224"/>
      <c r="H109" s="224"/>
      <c r="I109" s="224"/>
      <c r="J109" s="246"/>
      <c r="K109" s="246"/>
      <c r="L109" s="246"/>
      <c r="M109" s="247"/>
      <c r="N109" s="247"/>
      <c r="O109" s="247"/>
      <c r="P109" s="247"/>
      <c r="Q109" s="247"/>
    </row>
    <row r="110" spans="1:17" x14ac:dyDescent="0.25">
      <c r="J110" s="67"/>
      <c r="K110" s="67"/>
      <c r="L110" s="67"/>
    </row>
    <row r="111" spans="1:17" x14ac:dyDescent="0.25">
      <c r="D111" s="68"/>
      <c r="E111" s="68"/>
      <c r="F111" s="68"/>
      <c r="G111" s="68"/>
      <c r="J111" s="67"/>
      <c r="K111" s="67"/>
      <c r="L111" s="67"/>
    </row>
    <row r="112" spans="1:17" x14ac:dyDescent="0.25">
      <c r="J112" s="67"/>
      <c r="K112" s="67"/>
      <c r="L112" s="67"/>
    </row>
    <row r="113" spans="10:12" x14ac:dyDescent="0.25">
      <c r="J113" s="66"/>
      <c r="K113" s="66"/>
      <c r="L113" s="66"/>
    </row>
  </sheetData>
  <sheetProtection password="C668" sheet="1" objects="1" scenarios="1" selectLockedCells="1" selectUnlockedCells="1"/>
  <autoFilter ref="A17:P112"/>
  <mergeCells count="20">
    <mergeCell ref="B1:K2"/>
    <mergeCell ref="D3:G3"/>
    <mergeCell ref="D4:G4"/>
    <mergeCell ref="D5:F5"/>
    <mergeCell ref="J5:L7"/>
    <mergeCell ref="D6:F6"/>
    <mergeCell ref="F14:G14"/>
    <mergeCell ref="J14:K14"/>
    <mergeCell ref="C16:D16"/>
    <mergeCell ref="H16:K16"/>
    <mergeCell ref="I8:L8"/>
    <mergeCell ref="A9:D9"/>
    <mergeCell ref="E9:E14"/>
    <mergeCell ref="F9:G9"/>
    <mergeCell ref="H9:H14"/>
    <mergeCell ref="I9:L9"/>
    <mergeCell ref="C10:D10"/>
    <mergeCell ref="J11:K11"/>
    <mergeCell ref="J12:K12"/>
    <mergeCell ref="J13:K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1"/>
  <sheetViews>
    <sheetView tabSelected="1" topLeftCell="B1" zoomScale="70" zoomScaleNormal="70" zoomScaleSheetLayoutView="70" workbookViewId="0">
      <selection activeCell="C6" sqref="C6"/>
    </sheetView>
  </sheetViews>
  <sheetFormatPr defaultRowHeight="12.75" x14ac:dyDescent="0.25"/>
  <cols>
    <col min="1" max="1" width="3.5703125" style="17" customWidth="1"/>
    <col min="2" max="2" width="6.5703125" style="17" customWidth="1"/>
    <col min="3" max="3" width="22.5703125" style="17" customWidth="1"/>
    <col min="4" max="4" width="11.7109375" style="17" customWidth="1"/>
    <col min="5" max="5" width="11.5703125" style="17" customWidth="1"/>
    <col min="6" max="6" width="10.7109375" style="17" customWidth="1"/>
    <col min="7" max="7" width="24.85546875" style="17" customWidth="1"/>
    <col min="8" max="8" width="20" style="17" customWidth="1"/>
    <col min="9" max="9" width="15.42578125" style="17" customWidth="1"/>
    <col min="10" max="10" width="19.5703125" style="17" customWidth="1"/>
    <col min="11" max="11" width="23.7109375" style="17" customWidth="1"/>
    <col min="12" max="12" width="21.7109375" style="17" customWidth="1"/>
    <col min="13" max="13" width="18.28515625" style="17" hidden="1" customWidth="1"/>
    <col min="14" max="14" width="11.42578125" style="17" hidden="1" customWidth="1"/>
    <col min="15" max="16" width="13.7109375" style="17" hidden="1" customWidth="1"/>
    <col min="17" max="17" width="12" style="17" hidden="1" customWidth="1"/>
    <col min="18" max="18" width="17" style="17" hidden="1" customWidth="1"/>
    <col min="19" max="19" width="10.42578125" style="17" hidden="1" customWidth="1"/>
    <col min="20" max="20" width="17.42578125" style="17" hidden="1" customWidth="1"/>
    <col min="21" max="21" width="31.140625" style="17" hidden="1" customWidth="1"/>
    <col min="22" max="22" width="18.5703125" style="17" hidden="1" customWidth="1"/>
    <col min="23" max="23" width="11.28515625" style="17" hidden="1" customWidth="1"/>
    <col min="24" max="25" width="11.85546875" style="17" hidden="1" customWidth="1"/>
    <col min="26" max="26" width="15" style="17" hidden="1" customWidth="1"/>
    <col min="27" max="29" width="10.7109375" style="17" hidden="1" customWidth="1"/>
    <col min="30" max="30" width="11.7109375" style="17" hidden="1" customWidth="1"/>
    <col min="31" max="31" width="9.140625" style="17" hidden="1" customWidth="1"/>
    <col min="32" max="32" width="13.140625" style="18" hidden="1" customWidth="1"/>
    <col min="33" max="33" width="9.140625" style="17" hidden="1" customWidth="1"/>
    <col min="34" max="34" width="12.85546875" style="18" hidden="1" customWidth="1"/>
    <col min="35" max="35" width="12.5703125" style="17" hidden="1" customWidth="1"/>
    <col min="36" max="37" width="9.140625" style="17" hidden="1" customWidth="1"/>
    <col min="38" max="43" width="12.28515625" style="17" hidden="1" customWidth="1"/>
    <col min="44" max="44" width="14.85546875" style="17" hidden="1" customWidth="1"/>
    <col min="45" max="47" width="12.28515625" style="17" hidden="1" customWidth="1"/>
    <col min="48" max="53" width="9.140625" style="17" hidden="1" customWidth="1"/>
    <col min="54" max="56" width="22.28515625" style="17" hidden="1" customWidth="1"/>
    <col min="57" max="86" width="9.140625" style="17" customWidth="1"/>
    <col min="87" max="185" width="9.140625" style="17"/>
    <col min="186" max="186" width="5.5703125" style="17" customWidth="1"/>
    <col min="187" max="227" width="0" style="17" hidden="1" customWidth="1"/>
    <col min="228" max="228" width="26.140625" style="17" customWidth="1"/>
    <col min="229" max="229" width="14" style="17" customWidth="1"/>
    <col min="230" max="230" width="13.5703125" style="17" customWidth="1"/>
    <col min="231" max="231" width="10.7109375" style="17" customWidth="1"/>
    <col min="232" max="232" width="20" style="17" customWidth="1"/>
    <col min="233" max="233" width="12" style="17" customWidth="1"/>
    <col min="234" max="234" width="9.5703125" style="17" customWidth="1"/>
    <col min="235" max="235" width="12.42578125" style="17" customWidth="1"/>
    <col min="236" max="236" width="21.7109375" style="17" customWidth="1"/>
    <col min="237" max="237" width="18.28515625" style="17" customWidth="1"/>
    <col min="238" max="238" width="11.42578125" style="17" customWidth="1"/>
    <col min="239" max="240" width="13.7109375" style="17" customWidth="1"/>
    <col min="241" max="241" width="12" style="17" customWidth="1"/>
    <col min="242" max="242" width="11.5703125" style="17" customWidth="1"/>
    <col min="243" max="243" width="10.42578125" style="17" customWidth="1"/>
    <col min="244" max="441" width="9.140625" style="17"/>
    <col min="442" max="442" width="5.5703125" style="17" customWidth="1"/>
    <col min="443" max="483" width="0" style="17" hidden="1" customWidth="1"/>
    <col min="484" max="484" width="26.140625" style="17" customWidth="1"/>
    <col min="485" max="485" width="14" style="17" customWidth="1"/>
    <col min="486" max="486" width="13.5703125" style="17" customWidth="1"/>
    <col min="487" max="487" width="10.7109375" style="17" customWidth="1"/>
    <col min="488" max="488" width="20" style="17" customWidth="1"/>
    <col min="489" max="489" width="12" style="17" customWidth="1"/>
    <col min="490" max="490" width="9.5703125" style="17" customWidth="1"/>
    <col min="491" max="491" width="12.42578125" style="17" customWidth="1"/>
    <col min="492" max="492" width="21.7109375" style="17" customWidth="1"/>
    <col min="493" max="493" width="18.28515625" style="17" customWidth="1"/>
    <col min="494" max="494" width="11.42578125" style="17" customWidth="1"/>
    <col min="495" max="496" width="13.7109375" style="17" customWidth="1"/>
    <col min="497" max="497" width="12" style="17" customWidth="1"/>
    <col min="498" max="498" width="11.5703125" style="17" customWidth="1"/>
    <col min="499" max="499" width="10.42578125" style="17" customWidth="1"/>
    <col min="500" max="697" width="9.140625" style="17"/>
    <col min="698" max="698" width="5.5703125" style="17" customWidth="1"/>
    <col min="699" max="739" width="0" style="17" hidden="1" customWidth="1"/>
    <col min="740" max="740" width="26.140625" style="17" customWidth="1"/>
    <col min="741" max="741" width="14" style="17" customWidth="1"/>
    <col min="742" max="742" width="13.5703125" style="17" customWidth="1"/>
    <col min="743" max="743" width="10.7109375" style="17" customWidth="1"/>
    <col min="744" max="744" width="20" style="17" customWidth="1"/>
    <col min="745" max="745" width="12" style="17" customWidth="1"/>
    <col min="746" max="746" width="9.5703125" style="17" customWidth="1"/>
    <col min="747" max="747" width="12.42578125" style="17" customWidth="1"/>
    <col min="748" max="748" width="21.7109375" style="17" customWidth="1"/>
    <col min="749" max="749" width="18.28515625" style="17" customWidth="1"/>
    <col min="750" max="750" width="11.42578125" style="17" customWidth="1"/>
    <col min="751" max="752" width="13.7109375" style="17" customWidth="1"/>
    <col min="753" max="753" width="12" style="17" customWidth="1"/>
    <col min="754" max="754" width="11.5703125" style="17" customWidth="1"/>
    <col min="755" max="755" width="10.42578125" style="17" customWidth="1"/>
    <col min="756" max="953" width="9.140625" style="17"/>
    <col min="954" max="954" width="5.5703125" style="17" customWidth="1"/>
    <col min="955" max="995" width="0" style="17" hidden="1" customWidth="1"/>
    <col min="996" max="996" width="26.140625" style="17" customWidth="1"/>
    <col min="997" max="997" width="14" style="17" customWidth="1"/>
    <col min="998" max="998" width="13.5703125" style="17" customWidth="1"/>
    <col min="999" max="999" width="10.7109375" style="17" customWidth="1"/>
    <col min="1000" max="1000" width="20" style="17" customWidth="1"/>
    <col min="1001" max="1001" width="12" style="17" customWidth="1"/>
    <col min="1002" max="1002" width="9.5703125" style="17" customWidth="1"/>
    <col min="1003" max="1003" width="12.42578125" style="17" customWidth="1"/>
    <col min="1004" max="1004" width="21.7109375" style="17" customWidth="1"/>
    <col min="1005" max="1005" width="18.28515625" style="17" customWidth="1"/>
    <col min="1006" max="1006" width="11.42578125" style="17" customWidth="1"/>
    <col min="1007" max="1008" width="13.7109375" style="17" customWidth="1"/>
    <col min="1009" max="1009" width="12" style="17" customWidth="1"/>
    <col min="1010" max="1010" width="11.5703125" style="17" customWidth="1"/>
    <col min="1011" max="1011" width="10.42578125" style="17" customWidth="1"/>
    <col min="1012" max="1209" width="9.140625" style="17"/>
    <col min="1210" max="1210" width="5.5703125" style="17" customWidth="1"/>
    <col min="1211" max="1251" width="0" style="17" hidden="1" customWidth="1"/>
    <col min="1252" max="1252" width="26.140625" style="17" customWidth="1"/>
    <col min="1253" max="1253" width="14" style="17" customWidth="1"/>
    <col min="1254" max="1254" width="13.5703125" style="17" customWidth="1"/>
    <col min="1255" max="1255" width="10.7109375" style="17" customWidth="1"/>
    <col min="1256" max="1256" width="20" style="17" customWidth="1"/>
    <col min="1257" max="1257" width="12" style="17" customWidth="1"/>
    <col min="1258" max="1258" width="9.5703125" style="17" customWidth="1"/>
    <col min="1259" max="1259" width="12.42578125" style="17" customWidth="1"/>
    <col min="1260" max="1260" width="21.7109375" style="17" customWidth="1"/>
    <col min="1261" max="1261" width="18.28515625" style="17" customWidth="1"/>
    <col min="1262" max="1262" width="11.42578125" style="17" customWidth="1"/>
    <col min="1263" max="1264" width="13.7109375" style="17" customWidth="1"/>
    <col min="1265" max="1265" width="12" style="17" customWidth="1"/>
    <col min="1266" max="1266" width="11.5703125" style="17" customWidth="1"/>
    <col min="1267" max="1267" width="10.42578125" style="17" customWidth="1"/>
    <col min="1268" max="1465" width="9.140625" style="17"/>
    <col min="1466" max="1466" width="5.5703125" style="17" customWidth="1"/>
    <col min="1467" max="1507" width="0" style="17" hidden="1" customWidth="1"/>
    <col min="1508" max="1508" width="26.140625" style="17" customWidth="1"/>
    <col min="1509" max="1509" width="14" style="17" customWidth="1"/>
    <col min="1510" max="1510" width="13.5703125" style="17" customWidth="1"/>
    <col min="1511" max="1511" width="10.7109375" style="17" customWidth="1"/>
    <col min="1512" max="1512" width="20" style="17" customWidth="1"/>
    <col min="1513" max="1513" width="12" style="17" customWidth="1"/>
    <col min="1514" max="1514" width="9.5703125" style="17" customWidth="1"/>
    <col min="1515" max="1515" width="12.42578125" style="17" customWidth="1"/>
    <col min="1516" max="1516" width="21.7109375" style="17" customWidth="1"/>
    <col min="1517" max="1517" width="18.28515625" style="17" customWidth="1"/>
    <col min="1518" max="1518" width="11.42578125" style="17" customWidth="1"/>
    <col min="1519" max="1520" width="13.7109375" style="17" customWidth="1"/>
    <col min="1521" max="1521" width="12" style="17" customWidth="1"/>
    <col min="1522" max="1522" width="11.5703125" style="17" customWidth="1"/>
    <col min="1523" max="1523" width="10.42578125" style="17" customWidth="1"/>
    <col min="1524" max="1721" width="9.140625" style="17"/>
    <col min="1722" max="1722" width="5.5703125" style="17" customWidth="1"/>
    <col min="1723" max="1763" width="0" style="17" hidden="1" customWidth="1"/>
    <col min="1764" max="1764" width="26.140625" style="17" customWidth="1"/>
    <col min="1765" max="1765" width="14" style="17" customWidth="1"/>
    <col min="1766" max="1766" width="13.5703125" style="17" customWidth="1"/>
    <col min="1767" max="1767" width="10.7109375" style="17" customWidth="1"/>
    <col min="1768" max="1768" width="20" style="17" customWidth="1"/>
    <col min="1769" max="1769" width="12" style="17" customWidth="1"/>
    <col min="1770" max="1770" width="9.5703125" style="17" customWidth="1"/>
    <col min="1771" max="1771" width="12.42578125" style="17" customWidth="1"/>
    <col min="1772" max="1772" width="21.7109375" style="17" customWidth="1"/>
    <col min="1773" max="1773" width="18.28515625" style="17" customWidth="1"/>
    <col min="1774" max="1774" width="11.42578125" style="17" customWidth="1"/>
    <col min="1775" max="1776" width="13.7109375" style="17" customWidth="1"/>
    <col min="1777" max="1777" width="12" style="17" customWidth="1"/>
    <col min="1778" max="1778" width="11.5703125" style="17" customWidth="1"/>
    <col min="1779" max="1779" width="10.42578125" style="17" customWidth="1"/>
    <col min="1780" max="1977" width="9.140625" style="17"/>
    <col min="1978" max="1978" width="5.5703125" style="17" customWidth="1"/>
    <col min="1979" max="2019" width="0" style="17" hidden="1" customWidth="1"/>
    <col min="2020" max="2020" width="26.140625" style="17" customWidth="1"/>
    <col min="2021" max="2021" width="14" style="17" customWidth="1"/>
    <col min="2022" max="2022" width="13.5703125" style="17" customWidth="1"/>
    <col min="2023" max="2023" width="10.7109375" style="17" customWidth="1"/>
    <col min="2024" max="2024" width="20" style="17" customWidth="1"/>
    <col min="2025" max="2025" width="12" style="17" customWidth="1"/>
    <col min="2026" max="2026" width="9.5703125" style="17" customWidth="1"/>
    <col min="2027" max="2027" width="12.42578125" style="17" customWidth="1"/>
    <col min="2028" max="2028" width="21.7109375" style="17" customWidth="1"/>
    <col min="2029" max="2029" width="18.28515625" style="17" customWidth="1"/>
    <col min="2030" max="2030" width="11.42578125" style="17" customWidth="1"/>
    <col min="2031" max="2032" width="13.7109375" style="17" customWidth="1"/>
    <col min="2033" max="2033" width="12" style="17" customWidth="1"/>
    <col min="2034" max="2034" width="11.5703125" style="17" customWidth="1"/>
    <col min="2035" max="2035" width="10.42578125" style="17" customWidth="1"/>
    <col min="2036" max="2233" width="9.140625" style="17"/>
    <col min="2234" max="2234" width="5.5703125" style="17" customWidth="1"/>
    <col min="2235" max="2275" width="0" style="17" hidden="1" customWidth="1"/>
    <col min="2276" max="2276" width="26.140625" style="17" customWidth="1"/>
    <col min="2277" max="2277" width="14" style="17" customWidth="1"/>
    <col min="2278" max="2278" width="13.5703125" style="17" customWidth="1"/>
    <col min="2279" max="2279" width="10.7109375" style="17" customWidth="1"/>
    <col min="2280" max="2280" width="20" style="17" customWidth="1"/>
    <col min="2281" max="2281" width="12" style="17" customWidth="1"/>
    <col min="2282" max="2282" width="9.5703125" style="17" customWidth="1"/>
    <col min="2283" max="2283" width="12.42578125" style="17" customWidth="1"/>
    <col min="2284" max="2284" width="21.7109375" style="17" customWidth="1"/>
    <col min="2285" max="2285" width="18.28515625" style="17" customWidth="1"/>
    <col min="2286" max="2286" width="11.42578125" style="17" customWidth="1"/>
    <col min="2287" max="2288" width="13.7109375" style="17" customWidth="1"/>
    <col min="2289" max="2289" width="12" style="17" customWidth="1"/>
    <col min="2290" max="2290" width="11.5703125" style="17" customWidth="1"/>
    <col min="2291" max="2291" width="10.42578125" style="17" customWidth="1"/>
    <col min="2292" max="2489" width="9.140625" style="17"/>
    <col min="2490" max="2490" width="5.5703125" style="17" customWidth="1"/>
    <col min="2491" max="2531" width="0" style="17" hidden="1" customWidth="1"/>
    <col min="2532" max="2532" width="26.140625" style="17" customWidth="1"/>
    <col min="2533" max="2533" width="14" style="17" customWidth="1"/>
    <col min="2534" max="2534" width="13.5703125" style="17" customWidth="1"/>
    <col min="2535" max="2535" width="10.7109375" style="17" customWidth="1"/>
    <col min="2536" max="2536" width="20" style="17" customWidth="1"/>
    <col min="2537" max="2537" width="12" style="17" customWidth="1"/>
    <col min="2538" max="2538" width="9.5703125" style="17" customWidth="1"/>
    <col min="2539" max="2539" width="12.42578125" style="17" customWidth="1"/>
    <col min="2540" max="2540" width="21.7109375" style="17" customWidth="1"/>
    <col min="2541" max="2541" width="18.28515625" style="17" customWidth="1"/>
    <col min="2542" max="2542" width="11.42578125" style="17" customWidth="1"/>
    <col min="2543" max="2544" width="13.7109375" style="17" customWidth="1"/>
    <col min="2545" max="2545" width="12" style="17" customWidth="1"/>
    <col min="2546" max="2546" width="11.5703125" style="17" customWidth="1"/>
    <col min="2547" max="2547" width="10.42578125" style="17" customWidth="1"/>
    <col min="2548" max="2745" width="9.140625" style="17"/>
    <col min="2746" max="2746" width="5.5703125" style="17" customWidth="1"/>
    <col min="2747" max="2787" width="0" style="17" hidden="1" customWidth="1"/>
    <col min="2788" max="2788" width="26.140625" style="17" customWidth="1"/>
    <col min="2789" max="2789" width="14" style="17" customWidth="1"/>
    <col min="2790" max="2790" width="13.5703125" style="17" customWidth="1"/>
    <col min="2791" max="2791" width="10.7109375" style="17" customWidth="1"/>
    <col min="2792" max="2792" width="20" style="17" customWidth="1"/>
    <col min="2793" max="2793" width="12" style="17" customWidth="1"/>
    <col min="2794" max="2794" width="9.5703125" style="17" customWidth="1"/>
    <col min="2795" max="2795" width="12.42578125" style="17" customWidth="1"/>
    <col min="2796" max="2796" width="21.7109375" style="17" customWidth="1"/>
    <col min="2797" max="2797" width="18.28515625" style="17" customWidth="1"/>
    <col min="2798" max="2798" width="11.42578125" style="17" customWidth="1"/>
    <col min="2799" max="2800" width="13.7109375" style="17" customWidth="1"/>
    <col min="2801" max="2801" width="12" style="17" customWidth="1"/>
    <col min="2802" max="2802" width="11.5703125" style="17" customWidth="1"/>
    <col min="2803" max="2803" width="10.42578125" style="17" customWidth="1"/>
    <col min="2804" max="3001" width="9.140625" style="17"/>
    <col min="3002" max="3002" width="5.5703125" style="17" customWidth="1"/>
    <col min="3003" max="3043" width="0" style="17" hidden="1" customWidth="1"/>
    <col min="3044" max="3044" width="26.140625" style="17" customWidth="1"/>
    <col min="3045" max="3045" width="14" style="17" customWidth="1"/>
    <col min="3046" max="3046" width="13.5703125" style="17" customWidth="1"/>
    <col min="3047" max="3047" width="10.7109375" style="17" customWidth="1"/>
    <col min="3048" max="3048" width="20" style="17" customWidth="1"/>
    <col min="3049" max="3049" width="12" style="17" customWidth="1"/>
    <col min="3050" max="3050" width="9.5703125" style="17" customWidth="1"/>
    <col min="3051" max="3051" width="12.42578125" style="17" customWidth="1"/>
    <col min="3052" max="3052" width="21.7109375" style="17" customWidth="1"/>
    <col min="3053" max="3053" width="18.28515625" style="17" customWidth="1"/>
    <col min="3054" max="3054" width="11.42578125" style="17" customWidth="1"/>
    <col min="3055" max="3056" width="13.7109375" style="17" customWidth="1"/>
    <col min="3057" max="3057" width="12" style="17" customWidth="1"/>
    <col min="3058" max="3058" width="11.5703125" style="17" customWidth="1"/>
    <col min="3059" max="3059" width="10.42578125" style="17" customWidth="1"/>
    <col min="3060" max="3257" width="9.140625" style="17"/>
    <col min="3258" max="3258" width="5.5703125" style="17" customWidth="1"/>
    <col min="3259" max="3299" width="0" style="17" hidden="1" customWidth="1"/>
    <col min="3300" max="3300" width="26.140625" style="17" customWidth="1"/>
    <col min="3301" max="3301" width="14" style="17" customWidth="1"/>
    <col min="3302" max="3302" width="13.5703125" style="17" customWidth="1"/>
    <col min="3303" max="3303" width="10.7109375" style="17" customWidth="1"/>
    <col min="3304" max="3304" width="20" style="17" customWidth="1"/>
    <col min="3305" max="3305" width="12" style="17" customWidth="1"/>
    <col min="3306" max="3306" width="9.5703125" style="17" customWidth="1"/>
    <col min="3307" max="3307" width="12.42578125" style="17" customWidth="1"/>
    <col min="3308" max="3308" width="21.7109375" style="17" customWidth="1"/>
    <col min="3309" max="3309" width="18.28515625" style="17" customWidth="1"/>
    <col min="3310" max="3310" width="11.42578125" style="17" customWidth="1"/>
    <col min="3311" max="3312" width="13.7109375" style="17" customWidth="1"/>
    <col min="3313" max="3313" width="12" style="17" customWidth="1"/>
    <col min="3314" max="3314" width="11.5703125" style="17" customWidth="1"/>
    <col min="3315" max="3315" width="10.42578125" style="17" customWidth="1"/>
    <col min="3316" max="3513" width="9.140625" style="17"/>
    <col min="3514" max="3514" width="5.5703125" style="17" customWidth="1"/>
    <col min="3515" max="3555" width="0" style="17" hidden="1" customWidth="1"/>
    <col min="3556" max="3556" width="26.140625" style="17" customWidth="1"/>
    <col min="3557" max="3557" width="14" style="17" customWidth="1"/>
    <col min="3558" max="3558" width="13.5703125" style="17" customWidth="1"/>
    <col min="3559" max="3559" width="10.7109375" style="17" customWidth="1"/>
    <col min="3560" max="3560" width="20" style="17" customWidth="1"/>
    <col min="3561" max="3561" width="12" style="17" customWidth="1"/>
    <col min="3562" max="3562" width="9.5703125" style="17" customWidth="1"/>
    <col min="3563" max="3563" width="12.42578125" style="17" customWidth="1"/>
    <col min="3564" max="3564" width="21.7109375" style="17" customWidth="1"/>
    <col min="3565" max="3565" width="18.28515625" style="17" customWidth="1"/>
    <col min="3566" max="3566" width="11.42578125" style="17" customWidth="1"/>
    <col min="3567" max="3568" width="13.7109375" style="17" customWidth="1"/>
    <col min="3569" max="3569" width="12" style="17" customWidth="1"/>
    <col min="3570" max="3570" width="11.5703125" style="17" customWidth="1"/>
    <col min="3571" max="3571" width="10.42578125" style="17" customWidth="1"/>
    <col min="3572" max="3769" width="9.140625" style="17"/>
    <col min="3770" max="3770" width="5.5703125" style="17" customWidth="1"/>
    <col min="3771" max="3811" width="0" style="17" hidden="1" customWidth="1"/>
    <col min="3812" max="3812" width="26.140625" style="17" customWidth="1"/>
    <col min="3813" max="3813" width="14" style="17" customWidth="1"/>
    <col min="3814" max="3814" width="13.5703125" style="17" customWidth="1"/>
    <col min="3815" max="3815" width="10.7109375" style="17" customWidth="1"/>
    <col min="3816" max="3816" width="20" style="17" customWidth="1"/>
    <col min="3817" max="3817" width="12" style="17" customWidth="1"/>
    <col min="3818" max="3818" width="9.5703125" style="17" customWidth="1"/>
    <col min="3819" max="3819" width="12.42578125" style="17" customWidth="1"/>
    <col min="3820" max="3820" width="21.7109375" style="17" customWidth="1"/>
    <col min="3821" max="3821" width="18.28515625" style="17" customWidth="1"/>
    <col min="3822" max="3822" width="11.42578125" style="17" customWidth="1"/>
    <col min="3823" max="3824" width="13.7109375" style="17" customWidth="1"/>
    <col min="3825" max="3825" width="12" style="17" customWidth="1"/>
    <col min="3826" max="3826" width="11.5703125" style="17" customWidth="1"/>
    <col min="3827" max="3827" width="10.42578125" style="17" customWidth="1"/>
    <col min="3828" max="4025" width="9.140625" style="17"/>
    <col min="4026" max="4026" width="5.5703125" style="17" customWidth="1"/>
    <col min="4027" max="4067" width="0" style="17" hidden="1" customWidth="1"/>
    <col min="4068" max="4068" width="26.140625" style="17" customWidth="1"/>
    <col min="4069" max="4069" width="14" style="17" customWidth="1"/>
    <col min="4070" max="4070" width="13.5703125" style="17" customWidth="1"/>
    <col min="4071" max="4071" width="10.7109375" style="17" customWidth="1"/>
    <col min="4072" max="4072" width="20" style="17" customWidth="1"/>
    <col min="4073" max="4073" width="12" style="17" customWidth="1"/>
    <col min="4074" max="4074" width="9.5703125" style="17" customWidth="1"/>
    <col min="4075" max="4075" width="12.42578125" style="17" customWidth="1"/>
    <col min="4076" max="4076" width="21.7109375" style="17" customWidth="1"/>
    <col min="4077" max="4077" width="18.28515625" style="17" customWidth="1"/>
    <col min="4078" max="4078" width="11.42578125" style="17" customWidth="1"/>
    <col min="4079" max="4080" width="13.7109375" style="17" customWidth="1"/>
    <col min="4081" max="4081" width="12" style="17" customWidth="1"/>
    <col min="4082" max="4082" width="11.5703125" style="17" customWidth="1"/>
    <col min="4083" max="4083" width="10.42578125" style="17" customWidth="1"/>
    <col min="4084" max="4281" width="9.140625" style="17"/>
    <col min="4282" max="4282" width="5.5703125" style="17" customWidth="1"/>
    <col min="4283" max="4323" width="0" style="17" hidden="1" customWidth="1"/>
    <col min="4324" max="4324" width="26.140625" style="17" customWidth="1"/>
    <col min="4325" max="4325" width="14" style="17" customWidth="1"/>
    <col min="4326" max="4326" width="13.5703125" style="17" customWidth="1"/>
    <col min="4327" max="4327" width="10.7109375" style="17" customWidth="1"/>
    <col min="4328" max="4328" width="20" style="17" customWidth="1"/>
    <col min="4329" max="4329" width="12" style="17" customWidth="1"/>
    <col min="4330" max="4330" width="9.5703125" style="17" customWidth="1"/>
    <col min="4331" max="4331" width="12.42578125" style="17" customWidth="1"/>
    <col min="4332" max="4332" width="21.7109375" style="17" customWidth="1"/>
    <col min="4333" max="4333" width="18.28515625" style="17" customWidth="1"/>
    <col min="4334" max="4334" width="11.42578125" style="17" customWidth="1"/>
    <col min="4335" max="4336" width="13.7109375" style="17" customWidth="1"/>
    <col min="4337" max="4337" width="12" style="17" customWidth="1"/>
    <col min="4338" max="4338" width="11.5703125" style="17" customWidth="1"/>
    <col min="4339" max="4339" width="10.42578125" style="17" customWidth="1"/>
    <col min="4340" max="4537" width="9.140625" style="17"/>
    <col min="4538" max="4538" width="5.5703125" style="17" customWidth="1"/>
    <col min="4539" max="4579" width="0" style="17" hidden="1" customWidth="1"/>
    <col min="4580" max="4580" width="26.140625" style="17" customWidth="1"/>
    <col min="4581" max="4581" width="14" style="17" customWidth="1"/>
    <col min="4582" max="4582" width="13.5703125" style="17" customWidth="1"/>
    <col min="4583" max="4583" width="10.7109375" style="17" customWidth="1"/>
    <col min="4584" max="4584" width="20" style="17" customWidth="1"/>
    <col min="4585" max="4585" width="12" style="17" customWidth="1"/>
    <col min="4586" max="4586" width="9.5703125" style="17" customWidth="1"/>
    <col min="4587" max="4587" width="12.42578125" style="17" customWidth="1"/>
    <col min="4588" max="4588" width="21.7109375" style="17" customWidth="1"/>
    <col min="4589" max="4589" width="18.28515625" style="17" customWidth="1"/>
    <col min="4590" max="4590" width="11.42578125" style="17" customWidth="1"/>
    <col min="4591" max="4592" width="13.7109375" style="17" customWidth="1"/>
    <col min="4593" max="4593" width="12" style="17" customWidth="1"/>
    <col min="4594" max="4594" width="11.5703125" style="17" customWidth="1"/>
    <col min="4595" max="4595" width="10.42578125" style="17" customWidth="1"/>
    <col min="4596" max="4793" width="9.140625" style="17"/>
    <col min="4794" max="4794" width="5.5703125" style="17" customWidth="1"/>
    <col min="4795" max="4835" width="0" style="17" hidden="1" customWidth="1"/>
    <col min="4836" max="4836" width="26.140625" style="17" customWidth="1"/>
    <col min="4837" max="4837" width="14" style="17" customWidth="1"/>
    <col min="4838" max="4838" width="13.5703125" style="17" customWidth="1"/>
    <col min="4839" max="4839" width="10.7109375" style="17" customWidth="1"/>
    <col min="4840" max="4840" width="20" style="17" customWidth="1"/>
    <col min="4841" max="4841" width="12" style="17" customWidth="1"/>
    <col min="4842" max="4842" width="9.5703125" style="17" customWidth="1"/>
    <col min="4843" max="4843" width="12.42578125" style="17" customWidth="1"/>
    <col min="4844" max="4844" width="21.7109375" style="17" customWidth="1"/>
    <col min="4845" max="4845" width="18.28515625" style="17" customWidth="1"/>
    <col min="4846" max="4846" width="11.42578125" style="17" customWidth="1"/>
    <col min="4847" max="4848" width="13.7109375" style="17" customWidth="1"/>
    <col min="4849" max="4849" width="12" style="17" customWidth="1"/>
    <col min="4850" max="4850" width="11.5703125" style="17" customWidth="1"/>
    <col min="4851" max="4851" width="10.42578125" style="17" customWidth="1"/>
    <col min="4852" max="5049" width="9.140625" style="17"/>
    <col min="5050" max="5050" width="5.5703125" style="17" customWidth="1"/>
    <col min="5051" max="5091" width="0" style="17" hidden="1" customWidth="1"/>
    <col min="5092" max="5092" width="26.140625" style="17" customWidth="1"/>
    <col min="5093" max="5093" width="14" style="17" customWidth="1"/>
    <col min="5094" max="5094" width="13.5703125" style="17" customWidth="1"/>
    <col min="5095" max="5095" width="10.7109375" style="17" customWidth="1"/>
    <col min="5096" max="5096" width="20" style="17" customWidth="1"/>
    <col min="5097" max="5097" width="12" style="17" customWidth="1"/>
    <col min="5098" max="5098" width="9.5703125" style="17" customWidth="1"/>
    <col min="5099" max="5099" width="12.42578125" style="17" customWidth="1"/>
    <col min="5100" max="5100" width="21.7109375" style="17" customWidth="1"/>
    <col min="5101" max="5101" width="18.28515625" style="17" customWidth="1"/>
    <col min="5102" max="5102" width="11.42578125" style="17" customWidth="1"/>
    <col min="5103" max="5104" width="13.7109375" style="17" customWidth="1"/>
    <col min="5105" max="5105" width="12" style="17" customWidth="1"/>
    <col min="5106" max="5106" width="11.5703125" style="17" customWidth="1"/>
    <col min="5107" max="5107" width="10.42578125" style="17" customWidth="1"/>
    <col min="5108" max="5305" width="9.140625" style="17"/>
    <col min="5306" max="5306" width="5.5703125" style="17" customWidth="1"/>
    <col min="5307" max="5347" width="0" style="17" hidden="1" customWidth="1"/>
    <col min="5348" max="5348" width="26.140625" style="17" customWidth="1"/>
    <col min="5349" max="5349" width="14" style="17" customWidth="1"/>
    <col min="5350" max="5350" width="13.5703125" style="17" customWidth="1"/>
    <col min="5351" max="5351" width="10.7109375" style="17" customWidth="1"/>
    <col min="5352" max="5352" width="20" style="17" customWidth="1"/>
    <col min="5353" max="5353" width="12" style="17" customWidth="1"/>
    <col min="5354" max="5354" width="9.5703125" style="17" customWidth="1"/>
    <col min="5355" max="5355" width="12.42578125" style="17" customWidth="1"/>
    <col min="5356" max="5356" width="21.7109375" style="17" customWidth="1"/>
    <col min="5357" max="5357" width="18.28515625" style="17" customWidth="1"/>
    <col min="5358" max="5358" width="11.42578125" style="17" customWidth="1"/>
    <col min="5359" max="5360" width="13.7109375" style="17" customWidth="1"/>
    <col min="5361" max="5361" width="12" style="17" customWidth="1"/>
    <col min="5362" max="5362" width="11.5703125" style="17" customWidth="1"/>
    <col min="5363" max="5363" width="10.42578125" style="17" customWidth="1"/>
    <col min="5364" max="5561" width="9.140625" style="17"/>
    <col min="5562" max="5562" width="5.5703125" style="17" customWidth="1"/>
    <col min="5563" max="5603" width="0" style="17" hidden="1" customWidth="1"/>
    <col min="5604" max="5604" width="26.140625" style="17" customWidth="1"/>
    <col min="5605" max="5605" width="14" style="17" customWidth="1"/>
    <col min="5606" max="5606" width="13.5703125" style="17" customWidth="1"/>
    <col min="5607" max="5607" width="10.7109375" style="17" customWidth="1"/>
    <col min="5608" max="5608" width="20" style="17" customWidth="1"/>
    <col min="5609" max="5609" width="12" style="17" customWidth="1"/>
    <col min="5610" max="5610" width="9.5703125" style="17" customWidth="1"/>
    <col min="5611" max="5611" width="12.42578125" style="17" customWidth="1"/>
    <col min="5612" max="5612" width="21.7109375" style="17" customWidth="1"/>
    <col min="5613" max="5613" width="18.28515625" style="17" customWidth="1"/>
    <col min="5614" max="5614" width="11.42578125" style="17" customWidth="1"/>
    <col min="5615" max="5616" width="13.7109375" style="17" customWidth="1"/>
    <col min="5617" max="5617" width="12" style="17" customWidth="1"/>
    <col min="5618" max="5618" width="11.5703125" style="17" customWidth="1"/>
    <col min="5619" max="5619" width="10.42578125" style="17" customWidth="1"/>
    <col min="5620" max="5817" width="9.140625" style="17"/>
    <col min="5818" max="5818" width="5.5703125" style="17" customWidth="1"/>
    <col min="5819" max="5859" width="0" style="17" hidden="1" customWidth="1"/>
    <col min="5860" max="5860" width="26.140625" style="17" customWidth="1"/>
    <col min="5861" max="5861" width="14" style="17" customWidth="1"/>
    <col min="5862" max="5862" width="13.5703125" style="17" customWidth="1"/>
    <col min="5863" max="5863" width="10.7109375" style="17" customWidth="1"/>
    <col min="5864" max="5864" width="20" style="17" customWidth="1"/>
    <col min="5865" max="5865" width="12" style="17" customWidth="1"/>
    <col min="5866" max="5866" width="9.5703125" style="17" customWidth="1"/>
    <col min="5867" max="5867" width="12.42578125" style="17" customWidth="1"/>
    <col min="5868" max="5868" width="21.7109375" style="17" customWidth="1"/>
    <col min="5869" max="5869" width="18.28515625" style="17" customWidth="1"/>
    <col min="5870" max="5870" width="11.42578125" style="17" customWidth="1"/>
    <col min="5871" max="5872" width="13.7109375" style="17" customWidth="1"/>
    <col min="5873" max="5873" width="12" style="17" customWidth="1"/>
    <col min="5874" max="5874" width="11.5703125" style="17" customWidth="1"/>
    <col min="5875" max="5875" width="10.42578125" style="17" customWidth="1"/>
    <col min="5876" max="6073" width="9.140625" style="17"/>
    <col min="6074" max="6074" width="5.5703125" style="17" customWidth="1"/>
    <col min="6075" max="6115" width="0" style="17" hidden="1" customWidth="1"/>
    <col min="6116" max="6116" width="26.140625" style="17" customWidth="1"/>
    <col min="6117" max="6117" width="14" style="17" customWidth="1"/>
    <col min="6118" max="6118" width="13.5703125" style="17" customWidth="1"/>
    <col min="6119" max="6119" width="10.7109375" style="17" customWidth="1"/>
    <col min="6120" max="6120" width="20" style="17" customWidth="1"/>
    <col min="6121" max="6121" width="12" style="17" customWidth="1"/>
    <col min="6122" max="6122" width="9.5703125" style="17" customWidth="1"/>
    <col min="6123" max="6123" width="12.42578125" style="17" customWidth="1"/>
    <col min="6124" max="6124" width="21.7109375" style="17" customWidth="1"/>
    <col min="6125" max="6125" width="18.28515625" style="17" customWidth="1"/>
    <col min="6126" max="6126" width="11.42578125" style="17" customWidth="1"/>
    <col min="6127" max="6128" width="13.7109375" style="17" customWidth="1"/>
    <col min="6129" max="6129" width="12" style="17" customWidth="1"/>
    <col min="6130" max="6130" width="11.5703125" style="17" customWidth="1"/>
    <col min="6131" max="6131" width="10.42578125" style="17" customWidth="1"/>
    <col min="6132" max="6329" width="9.140625" style="17"/>
    <col min="6330" max="6330" width="5.5703125" style="17" customWidth="1"/>
    <col min="6331" max="6371" width="0" style="17" hidden="1" customWidth="1"/>
    <col min="6372" max="6372" width="26.140625" style="17" customWidth="1"/>
    <col min="6373" max="6373" width="14" style="17" customWidth="1"/>
    <col min="6374" max="6374" width="13.5703125" style="17" customWidth="1"/>
    <col min="6375" max="6375" width="10.7109375" style="17" customWidth="1"/>
    <col min="6376" max="6376" width="20" style="17" customWidth="1"/>
    <col min="6377" max="6377" width="12" style="17" customWidth="1"/>
    <col min="6378" max="6378" width="9.5703125" style="17" customWidth="1"/>
    <col min="6379" max="6379" width="12.42578125" style="17" customWidth="1"/>
    <col min="6380" max="6380" width="21.7109375" style="17" customWidth="1"/>
    <col min="6381" max="6381" width="18.28515625" style="17" customWidth="1"/>
    <col min="6382" max="6382" width="11.42578125" style="17" customWidth="1"/>
    <col min="6383" max="6384" width="13.7109375" style="17" customWidth="1"/>
    <col min="6385" max="6385" width="12" style="17" customWidth="1"/>
    <col min="6386" max="6386" width="11.5703125" style="17" customWidth="1"/>
    <col min="6387" max="6387" width="10.42578125" style="17" customWidth="1"/>
    <col min="6388" max="6585" width="9.140625" style="17"/>
    <col min="6586" max="6586" width="5.5703125" style="17" customWidth="1"/>
    <col min="6587" max="6627" width="0" style="17" hidden="1" customWidth="1"/>
    <col min="6628" max="6628" width="26.140625" style="17" customWidth="1"/>
    <col min="6629" max="6629" width="14" style="17" customWidth="1"/>
    <col min="6630" max="6630" width="13.5703125" style="17" customWidth="1"/>
    <col min="6631" max="6631" width="10.7109375" style="17" customWidth="1"/>
    <col min="6632" max="6632" width="20" style="17" customWidth="1"/>
    <col min="6633" max="6633" width="12" style="17" customWidth="1"/>
    <col min="6634" max="6634" width="9.5703125" style="17" customWidth="1"/>
    <col min="6635" max="6635" width="12.42578125" style="17" customWidth="1"/>
    <col min="6636" max="6636" width="21.7109375" style="17" customWidth="1"/>
    <col min="6637" max="6637" width="18.28515625" style="17" customWidth="1"/>
    <col min="6638" max="6638" width="11.42578125" style="17" customWidth="1"/>
    <col min="6639" max="6640" width="13.7109375" style="17" customWidth="1"/>
    <col min="6641" max="6641" width="12" style="17" customWidth="1"/>
    <col min="6642" max="6642" width="11.5703125" style="17" customWidth="1"/>
    <col min="6643" max="6643" width="10.42578125" style="17" customWidth="1"/>
    <col min="6644" max="6841" width="9.140625" style="17"/>
    <col min="6842" max="6842" width="5.5703125" style="17" customWidth="1"/>
    <col min="6843" max="6883" width="0" style="17" hidden="1" customWidth="1"/>
    <col min="6884" max="6884" width="26.140625" style="17" customWidth="1"/>
    <col min="6885" max="6885" width="14" style="17" customWidth="1"/>
    <col min="6886" max="6886" width="13.5703125" style="17" customWidth="1"/>
    <col min="6887" max="6887" width="10.7109375" style="17" customWidth="1"/>
    <col min="6888" max="6888" width="20" style="17" customWidth="1"/>
    <col min="6889" max="6889" width="12" style="17" customWidth="1"/>
    <col min="6890" max="6890" width="9.5703125" style="17" customWidth="1"/>
    <col min="6891" max="6891" width="12.42578125" style="17" customWidth="1"/>
    <col min="6892" max="6892" width="21.7109375" style="17" customWidth="1"/>
    <col min="6893" max="6893" width="18.28515625" style="17" customWidth="1"/>
    <col min="6894" max="6894" width="11.42578125" style="17" customWidth="1"/>
    <col min="6895" max="6896" width="13.7109375" style="17" customWidth="1"/>
    <col min="6897" max="6897" width="12" style="17" customWidth="1"/>
    <col min="6898" max="6898" width="11.5703125" style="17" customWidth="1"/>
    <col min="6899" max="6899" width="10.42578125" style="17" customWidth="1"/>
    <col min="6900" max="7097" width="9.140625" style="17"/>
    <col min="7098" max="7098" width="5.5703125" style="17" customWidth="1"/>
    <col min="7099" max="7139" width="0" style="17" hidden="1" customWidth="1"/>
    <col min="7140" max="7140" width="26.140625" style="17" customWidth="1"/>
    <col min="7141" max="7141" width="14" style="17" customWidth="1"/>
    <col min="7142" max="7142" width="13.5703125" style="17" customWidth="1"/>
    <col min="7143" max="7143" width="10.7109375" style="17" customWidth="1"/>
    <col min="7144" max="7144" width="20" style="17" customWidth="1"/>
    <col min="7145" max="7145" width="12" style="17" customWidth="1"/>
    <col min="7146" max="7146" width="9.5703125" style="17" customWidth="1"/>
    <col min="7147" max="7147" width="12.42578125" style="17" customWidth="1"/>
    <col min="7148" max="7148" width="21.7109375" style="17" customWidth="1"/>
    <col min="7149" max="7149" width="18.28515625" style="17" customWidth="1"/>
    <col min="7150" max="7150" width="11.42578125" style="17" customWidth="1"/>
    <col min="7151" max="7152" width="13.7109375" style="17" customWidth="1"/>
    <col min="7153" max="7153" width="12" style="17" customWidth="1"/>
    <col min="7154" max="7154" width="11.5703125" style="17" customWidth="1"/>
    <col min="7155" max="7155" width="10.42578125" style="17" customWidth="1"/>
    <col min="7156" max="7353" width="9.140625" style="17"/>
    <col min="7354" max="7354" width="5.5703125" style="17" customWidth="1"/>
    <col min="7355" max="7395" width="0" style="17" hidden="1" customWidth="1"/>
    <col min="7396" max="7396" width="26.140625" style="17" customWidth="1"/>
    <col min="7397" max="7397" width="14" style="17" customWidth="1"/>
    <col min="7398" max="7398" width="13.5703125" style="17" customWidth="1"/>
    <col min="7399" max="7399" width="10.7109375" style="17" customWidth="1"/>
    <col min="7400" max="7400" width="20" style="17" customWidth="1"/>
    <col min="7401" max="7401" width="12" style="17" customWidth="1"/>
    <col min="7402" max="7402" width="9.5703125" style="17" customWidth="1"/>
    <col min="7403" max="7403" width="12.42578125" style="17" customWidth="1"/>
    <col min="7404" max="7404" width="21.7109375" style="17" customWidth="1"/>
    <col min="7405" max="7405" width="18.28515625" style="17" customWidth="1"/>
    <col min="7406" max="7406" width="11.42578125" style="17" customWidth="1"/>
    <col min="7407" max="7408" width="13.7109375" style="17" customWidth="1"/>
    <col min="7409" max="7409" width="12" style="17" customWidth="1"/>
    <col min="7410" max="7410" width="11.5703125" style="17" customWidth="1"/>
    <col min="7411" max="7411" width="10.42578125" style="17" customWidth="1"/>
    <col min="7412" max="7609" width="9.140625" style="17"/>
    <col min="7610" max="7610" width="5.5703125" style="17" customWidth="1"/>
    <col min="7611" max="7651" width="0" style="17" hidden="1" customWidth="1"/>
    <col min="7652" max="7652" width="26.140625" style="17" customWidth="1"/>
    <col min="7653" max="7653" width="14" style="17" customWidth="1"/>
    <col min="7654" max="7654" width="13.5703125" style="17" customWidth="1"/>
    <col min="7655" max="7655" width="10.7109375" style="17" customWidth="1"/>
    <col min="7656" max="7656" width="20" style="17" customWidth="1"/>
    <col min="7657" max="7657" width="12" style="17" customWidth="1"/>
    <col min="7658" max="7658" width="9.5703125" style="17" customWidth="1"/>
    <col min="7659" max="7659" width="12.42578125" style="17" customWidth="1"/>
    <col min="7660" max="7660" width="21.7109375" style="17" customWidth="1"/>
    <col min="7661" max="7661" width="18.28515625" style="17" customWidth="1"/>
    <col min="7662" max="7662" width="11.42578125" style="17" customWidth="1"/>
    <col min="7663" max="7664" width="13.7109375" style="17" customWidth="1"/>
    <col min="7665" max="7665" width="12" style="17" customWidth="1"/>
    <col min="7666" max="7666" width="11.5703125" style="17" customWidth="1"/>
    <col min="7667" max="7667" width="10.42578125" style="17" customWidth="1"/>
    <col min="7668" max="7865" width="9.140625" style="17"/>
    <col min="7866" max="7866" width="5.5703125" style="17" customWidth="1"/>
    <col min="7867" max="7907" width="0" style="17" hidden="1" customWidth="1"/>
    <col min="7908" max="7908" width="26.140625" style="17" customWidth="1"/>
    <col min="7909" max="7909" width="14" style="17" customWidth="1"/>
    <col min="7910" max="7910" width="13.5703125" style="17" customWidth="1"/>
    <col min="7911" max="7911" width="10.7109375" style="17" customWidth="1"/>
    <col min="7912" max="7912" width="20" style="17" customWidth="1"/>
    <col min="7913" max="7913" width="12" style="17" customWidth="1"/>
    <col min="7914" max="7914" width="9.5703125" style="17" customWidth="1"/>
    <col min="7915" max="7915" width="12.42578125" style="17" customWidth="1"/>
    <col min="7916" max="7916" width="21.7109375" style="17" customWidth="1"/>
    <col min="7917" max="7917" width="18.28515625" style="17" customWidth="1"/>
    <col min="7918" max="7918" width="11.42578125" style="17" customWidth="1"/>
    <col min="7919" max="7920" width="13.7109375" style="17" customWidth="1"/>
    <col min="7921" max="7921" width="12" style="17" customWidth="1"/>
    <col min="7922" max="7922" width="11.5703125" style="17" customWidth="1"/>
    <col min="7923" max="7923" width="10.42578125" style="17" customWidth="1"/>
    <col min="7924" max="8121" width="9.140625" style="17"/>
    <col min="8122" max="8122" width="5.5703125" style="17" customWidth="1"/>
    <col min="8123" max="8163" width="0" style="17" hidden="1" customWidth="1"/>
    <col min="8164" max="8164" width="26.140625" style="17" customWidth="1"/>
    <col min="8165" max="8165" width="14" style="17" customWidth="1"/>
    <col min="8166" max="8166" width="13.5703125" style="17" customWidth="1"/>
    <col min="8167" max="8167" width="10.7109375" style="17" customWidth="1"/>
    <col min="8168" max="8168" width="20" style="17" customWidth="1"/>
    <col min="8169" max="8169" width="12" style="17" customWidth="1"/>
    <col min="8170" max="8170" width="9.5703125" style="17" customWidth="1"/>
    <col min="8171" max="8171" width="12.42578125" style="17" customWidth="1"/>
    <col min="8172" max="8172" width="21.7109375" style="17" customWidth="1"/>
    <col min="8173" max="8173" width="18.28515625" style="17" customWidth="1"/>
    <col min="8174" max="8174" width="11.42578125" style="17" customWidth="1"/>
    <col min="8175" max="8176" width="13.7109375" style="17" customWidth="1"/>
    <col min="8177" max="8177" width="12" style="17" customWidth="1"/>
    <col min="8178" max="8178" width="11.5703125" style="17" customWidth="1"/>
    <col min="8179" max="8179" width="10.42578125" style="17" customWidth="1"/>
    <col min="8180" max="8377" width="9.140625" style="17"/>
    <col min="8378" max="8378" width="5.5703125" style="17" customWidth="1"/>
    <col min="8379" max="8419" width="0" style="17" hidden="1" customWidth="1"/>
    <col min="8420" max="8420" width="26.140625" style="17" customWidth="1"/>
    <col min="8421" max="8421" width="14" style="17" customWidth="1"/>
    <col min="8422" max="8422" width="13.5703125" style="17" customWidth="1"/>
    <col min="8423" max="8423" width="10.7109375" style="17" customWidth="1"/>
    <col min="8424" max="8424" width="20" style="17" customWidth="1"/>
    <col min="8425" max="8425" width="12" style="17" customWidth="1"/>
    <col min="8426" max="8426" width="9.5703125" style="17" customWidth="1"/>
    <col min="8427" max="8427" width="12.42578125" style="17" customWidth="1"/>
    <col min="8428" max="8428" width="21.7109375" style="17" customWidth="1"/>
    <col min="8429" max="8429" width="18.28515625" style="17" customWidth="1"/>
    <col min="8430" max="8430" width="11.42578125" style="17" customWidth="1"/>
    <col min="8431" max="8432" width="13.7109375" style="17" customWidth="1"/>
    <col min="8433" max="8433" width="12" style="17" customWidth="1"/>
    <col min="8434" max="8434" width="11.5703125" style="17" customWidth="1"/>
    <col min="8435" max="8435" width="10.42578125" style="17" customWidth="1"/>
    <col min="8436" max="8633" width="9.140625" style="17"/>
    <col min="8634" max="8634" width="5.5703125" style="17" customWidth="1"/>
    <col min="8635" max="8675" width="0" style="17" hidden="1" customWidth="1"/>
    <col min="8676" max="8676" width="26.140625" style="17" customWidth="1"/>
    <col min="8677" max="8677" width="14" style="17" customWidth="1"/>
    <col min="8678" max="8678" width="13.5703125" style="17" customWidth="1"/>
    <col min="8679" max="8679" width="10.7109375" style="17" customWidth="1"/>
    <col min="8680" max="8680" width="20" style="17" customWidth="1"/>
    <col min="8681" max="8681" width="12" style="17" customWidth="1"/>
    <col min="8682" max="8682" width="9.5703125" style="17" customWidth="1"/>
    <col min="8683" max="8683" width="12.42578125" style="17" customWidth="1"/>
    <col min="8684" max="8684" width="21.7109375" style="17" customWidth="1"/>
    <col min="8685" max="8685" width="18.28515625" style="17" customWidth="1"/>
    <col min="8686" max="8686" width="11.42578125" style="17" customWidth="1"/>
    <col min="8687" max="8688" width="13.7109375" style="17" customWidth="1"/>
    <col min="8689" max="8689" width="12" style="17" customWidth="1"/>
    <col min="8690" max="8690" width="11.5703125" style="17" customWidth="1"/>
    <col min="8691" max="8691" width="10.42578125" style="17" customWidth="1"/>
    <col min="8692" max="8889" width="9.140625" style="17"/>
    <col min="8890" max="8890" width="5.5703125" style="17" customWidth="1"/>
    <col min="8891" max="8931" width="0" style="17" hidden="1" customWidth="1"/>
    <col min="8932" max="8932" width="26.140625" style="17" customWidth="1"/>
    <col min="8933" max="8933" width="14" style="17" customWidth="1"/>
    <col min="8934" max="8934" width="13.5703125" style="17" customWidth="1"/>
    <col min="8935" max="8935" width="10.7109375" style="17" customWidth="1"/>
    <col min="8936" max="8936" width="20" style="17" customWidth="1"/>
    <col min="8937" max="8937" width="12" style="17" customWidth="1"/>
    <col min="8938" max="8938" width="9.5703125" style="17" customWidth="1"/>
    <col min="8939" max="8939" width="12.42578125" style="17" customWidth="1"/>
    <col min="8940" max="8940" width="21.7109375" style="17" customWidth="1"/>
    <col min="8941" max="8941" width="18.28515625" style="17" customWidth="1"/>
    <col min="8942" max="8942" width="11.42578125" style="17" customWidth="1"/>
    <col min="8943" max="8944" width="13.7109375" style="17" customWidth="1"/>
    <col min="8945" max="8945" width="12" style="17" customWidth="1"/>
    <col min="8946" max="8946" width="11.5703125" style="17" customWidth="1"/>
    <col min="8947" max="8947" width="10.42578125" style="17" customWidth="1"/>
    <col min="8948" max="9145" width="9.140625" style="17"/>
    <col min="9146" max="9146" width="5.5703125" style="17" customWidth="1"/>
    <col min="9147" max="9187" width="0" style="17" hidden="1" customWidth="1"/>
    <col min="9188" max="9188" width="26.140625" style="17" customWidth="1"/>
    <col min="9189" max="9189" width="14" style="17" customWidth="1"/>
    <col min="9190" max="9190" width="13.5703125" style="17" customWidth="1"/>
    <col min="9191" max="9191" width="10.7109375" style="17" customWidth="1"/>
    <col min="9192" max="9192" width="20" style="17" customWidth="1"/>
    <col min="9193" max="9193" width="12" style="17" customWidth="1"/>
    <col min="9194" max="9194" width="9.5703125" style="17" customWidth="1"/>
    <col min="9195" max="9195" width="12.42578125" style="17" customWidth="1"/>
    <col min="9196" max="9196" width="21.7109375" style="17" customWidth="1"/>
    <col min="9197" max="9197" width="18.28515625" style="17" customWidth="1"/>
    <col min="9198" max="9198" width="11.42578125" style="17" customWidth="1"/>
    <col min="9199" max="9200" width="13.7109375" style="17" customWidth="1"/>
    <col min="9201" max="9201" width="12" style="17" customWidth="1"/>
    <col min="9202" max="9202" width="11.5703125" style="17" customWidth="1"/>
    <col min="9203" max="9203" width="10.42578125" style="17" customWidth="1"/>
    <col min="9204" max="9401" width="9.140625" style="17"/>
    <col min="9402" max="9402" width="5.5703125" style="17" customWidth="1"/>
    <col min="9403" max="9443" width="0" style="17" hidden="1" customWidth="1"/>
    <col min="9444" max="9444" width="26.140625" style="17" customWidth="1"/>
    <col min="9445" max="9445" width="14" style="17" customWidth="1"/>
    <col min="9446" max="9446" width="13.5703125" style="17" customWidth="1"/>
    <col min="9447" max="9447" width="10.7109375" style="17" customWidth="1"/>
    <col min="9448" max="9448" width="20" style="17" customWidth="1"/>
    <col min="9449" max="9449" width="12" style="17" customWidth="1"/>
    <col min="9450" max="9450" width="9.5703125" style="17" customWidth="1"/>
    <col min="9451" max="9451" width="12.42578125" style="17" customWidth="1"/>
    <col min="9452" max="9452" width="21.7109375" style="17" customWidth="1"/>
    <col min="9453" max="9453" width="18.28515625" style="17" customWidth="1"/>
    <col min="9454" max="9454" width="11.42578125" style="17" customWidth="1"/>
    <col min="9455" max="9456" width="13.7109375" style="17" customWidth="1"/>
    <col min="9457" max="9457" width="12" style="17" customWidth="1"/>
    <col min="9458" max="9458" width="11.5703125" style="17" customWidth="1"/>
    <col min="9459" max="9459" width="10.42578125" style="17" customWidth="1"/>
    <col min="9460" max="9657" width="9.140625" style="17"/>
    <col min="9658" max="9658" width="5.5703125" style="17" customWidth="1"/>
    <col min="9659" max="9699" width="0" style="17" hidden="1" customWidth="1"/>
    <col min="9700" max="9700" width="26.140625" style="17" customWidth="1"/>
    <col min="9701" max="9701" width="14" style="17" customWidth="1"/>
    <col min="9702" max="9702" width="13.5703125" style="17" customWidth="1"/>
    <col min="9703" max="9703" width="10.7109375" style="17" customWidth="1"/>
    <col min="9704" max="9704" width="20" style="17" customWidth="1"/>
    <col min="9705" max="9705" width="12" style="17" customWidth="1"/>
    <col min="9706" max="9706" width="9.5703125" style="17" customWidth="1"/>
    <col min="9707" max="9707" width="12.42578125" style="17" customWidth="1"/>
    <col min="9708" max="9708" width="21.7109375" style="17" customWidth="1"/>
    <col min="9709" max="9709" width="18.28515625" style="17" customWidth="1"/>
    <col min="9710" max="9710" width="11.42578125" style="17" customWidth="1"/>
    <col min="9711" max="9712" width="13.7109375" style="17" customWidth="1"/>
    <col min="9713" max="9713" width="12" style="17" customWidth="1"/>
    <col min="9714" max="9714" width="11.5703125" style="17" customWidth="1"/>
    <col min="9715" max="9715" width="10.42578125" style="17" customWidth="1"/>
    <col min="9716" max="9913" width="9.140625" style="17"/>
    <col min="9914" max="9914" width="5.5703125" style="17" customWidth="1"/>
    <col min="9915" max="9955" width="0" style="17" hidden="1" customWidth="1"/>
    <col min="9956" max="9956" width="26.140625" style="17" customWidth="1"/>
    <col min="9957" max="9957" width="14" style="17" customWidth="1"/>
    <col min="9958" max="9958" width="13.5703125" style="17" customWidth="1"/>
    <col min="9959" max="9959" width="10.7109375" style="17" customWidth="1"/>
    <col min="9960" max="9960" width="20" style="17" customWidth="1"/>
    <col min="9961" max="9961" width="12" style="17" customWidth="1"/>
    <col min="9962" max="9962" width="9.5703125" style="17" customWidth="1"/>
    <col min="9963" max="9963" width="12.42578125" style="17" customWidth="1"/>
    <col min="9964" max="9964" width="21.7109375" style="17" customWidth="1"/>
    <col min="9965" max="9965" width="18.28515625" style="17" customWidth="1"/>
    <col min="9966" max="9966" width="11.42578125" style="17" customWidth="1"/>
    <col min="9967" max="9968" width="13.7109375" style="17" customWidth="1"/>
    <col min="9969" max="9969" width="12" style="17" customWidth="1"/>
    <col min="9970" max="9970" width="11.5703125" style="17" customWidth="1"/>
    <col min="9971" max="9971" width="10.42578125" style="17" customWidth="1"/>
    <col min="9972" max="10169" width="9.140625" style="17"/>
    <col min="10170" max="10170" width="5.5703125" style="17" customWidth="1"/>
    <col min="10171" max="10211" width="0" style="17" hidden="1" customWidth="1"/>
    <col min="10212" max="10212" width="26.140625" style="17" customWidth="1"/>
    <col min="10213" max="10213" width="14" style="17" customWidth="1"/>
    <col min="10214" max="10214" width="13.5703125" style="17" customWidth="1"/>
    <col min="10215" max="10215" width="10.7109375" style="17" customWidth="1"/>
    <col min="10216" max="10216" width="20" style="17" customWidth="1"/>
    <col min="10217" max="10217" width="12" style="17" customWidth="1"/>
    <col min="10218" max="10218" width="9.5703125" style="17" customWidth="1"/>
    <col min="10219" max="10219" width="12.42578125" style="17" customWidth="1"/>
    <col min="10220" max="10220" width="21.7109375" style="17" customWidth="1"/>
    <col min="10221" max="10221" width="18.28515625" style="17" customWidth="1"/>
    <col min="10222" max="10222" width="11.42578125" style="17" customWidth="1"/>
    <col min="10223" max="10224" width="13.7109375" style="17" customWidth="1"/>
    <col min="10225" max="10225" width="12" style="17" customWidth="1"/>
    <col min="10226" max="10226" width="11.5703125" style="17" customWidth="1"/>
    <col min="10227" max="10227" width="10.42578125" style="17" customWidth="1"/>
    <col min="10228" max="10425" width="9.140625" style="17"/>
    <col min="10426" max="10426" width="5.5703125" style="17" customWidth="1"/>
    <col min="10427" max="10467" width="0" style="17" hidden="1" customWidth="1"/>
    <col min="10468" max="10468" width="26.140625" style="17" customWidth="1"/>
    <col min="10469" max="10469" width="14" style="17" customWidth="1"/>
    <col min="10470" max="10470" width="13.5703125" style="17" customWidth="1"/>
    <col min="10471" max="10471" width="10.7109375" style="17" customWidth="1"/>
    <col min="10472" max="10472" width="20" style="17" customWidth="1"/>
    <col min="10473" max="10473" width="12" style="17" customWidth="1"/>
    <col min="10474" max="10474" width="9.5703125" style="17" customWidth="1"/>
    <col min="10475" max="10475" width="12.42578125" style="17" customWidth="1"/>
    <col min="10476" max="10476" width="21.7109375" style="17" customWidth="1"/>
    <col min="10477" max="10477" width="18.28515625" style="17" customWidth="1"/>
    <col min="10478" max="10478" width="11.42578125" style="17" customWidth="1"/>
    <col min="10479" max="10480" width="13.7109375" style="17" customWidth="1"/>
    <col min="10481" max="10481" width="12" style="17" customWidth="1"/>
    <col min="10482" max="10482" width="11.5703125" style="17" customWidth="1"/>
    <col min="10483" max="10483" width="10.42578125" style="17" customWidth="1"/>
    <col min="10484" max="10681" width="9.140625" style="17"/>
    <col min="10682" max="10682" width="5.5703125" style="17" customWidth="1"/>
    <col min="10683" max="10723" width="0" style="17" hidden="1" customWidth="1"/>
    <col min="10724" max="10724" width="26.140625" style="17" customWidth="1"/>
    <col min="10725" max="10725" width="14" style="17" customWidth="1"/>
    <col min="10726" max="10726" width="13.5703125" style="17" customWidth="1"/>
    <col min="10727" max="10727" width="10.7109375" style="17" customWidth="1"/>
    <col min="10728" max="10728" width="20" style="17" customWidth="1"/>
    <col min="10729" max="10729" width="12" style="17" customWidth="1"/>
    <col min="10730" max="10730" width="9.5703125" style="17" customWidth="1"/>
    <col min="10731" max="10731" width="12.42578125" style="17" customWidth="1"/>
    <col min="10732" max="10732" width="21.7109375" style="17" customWidth="1"/>
    <col min="10733" max="10733" width="18.28515625" style="17" customWidth="1"/>
    <col min="10734" max="10734" width="11.42578125" style="17" customWidth="1"/>
    <col min="10735" max="10736" width="13.7109375" style="17" customWidth="1"/>
    <col min="10737" max="10737" width="12" style="17" customWidth="1"/>
    <col min="10738" max="10738" width="11.5703125" style="17" customWidth="1"/>
    <col min="10739" max="10739" width="10.42578125" style="17" customWidth="1"/>
    <col min="10740" max="10937" width="9.140625" style="17"/>
    <col min="10938" max="10938" width="5.5703125" style="17" customWidth="1"/>
    <col min="10939" max="10979" width="0" style="17" hidden="1" customWidth="1"/>
    <col min="10980" max="10980" width="26.140625" style="17" customWidth="1"/>
    <col min="10981" max="10981" width="14" style="17" customWidth="1"/>
    <col min="10982" max="10982" width="13.5703125" style="17" customWidth="1"/>
    <col min="10983" max="10983" width="10.7109375" style="17" customWidth="1"/>
    <col min="10984" max="10984" width="20" style="17" customWidth="1"/>
    <col min="10985" max="10985" width="12" style="17" customWidth="1"/>
    <col min="10986" max="10986" width="9.5703125" style="17" customWidth="1"/>
    <col min="10987" max="10987" width="12.42578125" style="17" customWidth="1"/>
    <col min="10988" max="10988" width="21.7109375" style="17" customWidth="1"/>
    <col min="10989" max="10989" width="18.28515625" style="17" customWidth="1"/>
    <col min="10990" max="10990" width="11.42578125" style="17" customWidth="1"/>
    <col min="10991" max="10992" width="13.7109375" style="17" customWidth="1"/>
    <col min="10993" max="10993" width="12" style="17" customWidth="1"/>
    <col min="10994" max="10994" width="11.5703125" style="17" customWidth="1"/>
    <col min="10995" max="10995" width="10.42578125" style="17" customWidth="1"/>
    <col min="10996" max="11193" width="9.140625" style="17"/>
    <col min="11194" max="11194" width="5.5703125" style="17" customWidth="1"/>
    <col min="11195" max="11235" width="0" style="17" hidden="1" customWidth="1"/>
    <col min="11236" max="11236" width="26.140625" style="17" customWidth="1"/>
    <col min="11237" max="11237" width="14" style="17" customWidth="1"/>
    <col min="11238" max="11238" width="13.5703125" style="17" customWidth="1"/>
    <col min="11239" max="11239" width="10.7109375" style="17" customWidth="1"/>
    <col min="11240" max="11240" width="20" style="17" customWidth="1"/>
    <col min="11241" max="11241" width="12" style="17" customWidth="1"/>
    <col min="11242" max="11242" width="9.5703125" style="17" customWidth="1"/>
    <col min="11243" max="11243" width="12.42578125" style="17" customWidth="1"/>
    <col min="11244" max="11244" width="21.7109375" style="17" customWidth="1"/>
    <col min="11245" max="11245" width="18.28515625" style="17" customWidth="1"/>
    <col min="11246" max="11246" width="11.42578125" style="17" customWidth="1"/>
    <col min="11247" max="11248" width="13.7109375" style="17" customWidth="1"/>
    <col min="11249" max="11249" width="12" style="17" customWidth="1"/>
    <col min="11250" max="11250" width="11.5703125" style="17" customWidth="1"/>
    <col min="11251" max="11251" width="10.42578125" style="17" customWidth="1"/>
    <col min="11252" max="11449" width="9.140625" style="17"/>
    <col min="11450" max="11450" width="5.5703125" style="17" customWidth="1"/>
    <col min="11451" max="11491" width="0" style="17" hidden="1" customWidth="1"/>
    <col min="11492" max="11492" width="26.140625" style="17" customWidth="1"/>
    <col min="11493" max="11493" width="14" style="17" customWidth="1"/>
    <col min="11494" max="11494" width="13.5703125" style="17" customWidth="1"/>
    <col min="11495" max="11495" width="10.7109375" style="17" customWidth="1"/>
    <col min="11496" max="11496" width="20" style="17" customWidth="1"/>
    <col min="11497" max="11497" width="12" style="17" customWidth="1"/>
    <col min="11498" max="11498" width="9.5703125" style="17" customWidth="1"/>
    <col min="11499" max="11499" width="12.42578125" style="17" customWidth="1"/>
    <col min="11500" max="11500" width="21.7109375" style="17" customWidth="1"/>
    <col min="11501" max="11501" width="18.28515625" style="17" customWidth="1"/>
    <col min="11502" max="11502" width="11.42578125" style="17" customWidth="1"/>
    <col min="11503" max="11504" width="13.7109375" style="17" customWidth="1"/>
    <col min="11505" max="11505" width="12" style="17" customWidth="1"/>
    <col min="11506" max="11506" width="11.5703125" style="17" customWidth="1"/>
    <col min="11507" max="11507" width="10.42578125" style="17" customWidth="1"/>
    <col min="11508" max="11705" width="9.140625" style="17"/>
    <col min="11706" max="11706" width="5.5703125" style="17" customWidth="1"/>
    <col min="11707" max="11747" width="0" style="17" hidden="1" customWidth="1"/>
    <col min="11748" max="11748" width="26.140625" style="17" customWidth="1"/>
    <col min="11749" max="11749" width="14" style="17" customWidth="1"/>
    <col min="11750" max="11750" width="13.5703125" style="17" customWidth="1"/>
    <col min="11751" max="11751" width="10.7109375" style="17" customWidth="1"/>
    <col min="11752" max="11752" width="20" style="17" customWidth="1"/>
    <col min="11753" max="11753" width="12" style="17" customWidth="1"/>
    <col min="11754" max="11754" width="9.5703125" style="17" customWidth="1"/>
    <col min="11755" max="11755" width="12.42578125" style="17" customWidth="1"/>
    <col min="11756" max="11756" width="21.7109375" style="17" customWidth="1"/>
    <col min="11757" max="11757" width="18.28515625" style="17" customWidth="1"/>
    <col min="11758" max="11758" width="11.42578125" style="17" customWidth="1"/>
    <col min="11759" max="11760" width="13.7109375" style="17" customWidth="1"/>
    <col min="11761" max="11761" width="12" style="17" customWidth="1"/>
    <col min="11762" max="11762" width="11.5703125" style="17" customWidth="1"/>
    <col min="11763" max="11763" width="10.42578125" style="17" customWidth="1"/>
    <col min="11764" max="11961" width="9.140625" style="17"/>
    <col min="11962" max="11962" width="5.5703125" style="17" customWidth="1"/>
    <col min="11963" max="12003" width="0" style="17" hidden="1" customWidth="1"/>
    <col min="12004" max="12004" width="26.140625" style="17" customWidth="1"/>
    <col min="12005" max="12005" width="14" style="17" customWidth="1"/>
    <col min="12006" max="12006" width="13.5703125" style="17" customWidth="1"/>
    <col min="12007" max="12007" width="10.7109375" style="17" customWidth="1"/>
    <col min="12008" max="12008" width="20" style="17" customWidth="1"/>
    <col min="12009" max="12009" width="12" style="17" customWidth="1"/>
    <col min="12010" max="12010" width="9.5703125" style="17" customWidth="1"/>
    <col min="12011" max="12011" width="12.42578125" style="17" customWidth="1"/>
    <col min="12012" max="12012" width="21.7109375" style="17" customWidth="1"/>
    <col min="12013" max="12013" width="18.28515625" style="17" customWidth="1"/>
    <col min="12014" max="12014" width="11.42578125" style="17" customWidth="1"/>
    <col min="12015" max="12016" width="13.7109375" style="17" customWidth="1"/>
    <col min="12017" max="12017" width="12" style="17" customWidth="1"/>
    <col min="12018" max="12018" width="11.5703125" style="17" customWidth="1"/>
    <col min="12019" max="12019" width="10.42578125" style="17" customWidth="1"/>
    <col min="12020" max="12217" width="9.140625" style="17"/>
    <col min="12218" max="12218" width="5.5703125" style="17" customWidth="1"/>
    <col min="12219" max="12259" width="0" style="17" hidden="1" customWidth="1"/>
    <col min="12260" max="12260" width="26.140625" style="17" customWidth="1"/>
    <col min="12261" max="12261" width="14" style="17" customWidth="1"/>
    <col min="12262" max="12262" width="13.5703125" style="17" customWidth="1"/>
    <col min="12263" max="12263" width="10.7109375" style="17" customWidth="1"/>
    <col min="12264" max="12264" width="20" style="17" customWidth="1"/>
    <col min="12265" max="12265" width="12" style="17" customWidth="1"/>
    <col min="12266" max="12266" width="9.5703125" style="17" customWidth="1"/>
    <col min="12267" max="12267" width="12.42578125" style="17" customWidth="1"/>
    <col min="12268" max="12268" width="21.7109375" style="17" customWidth="1"/>
    <col min="12269" max="12269" width="18.28515625" style="17" customWidth="1"/>
    <col min="12270" max="12270" width="11.42578125" style="17" customWidth="1"/>
    <col min="12271" max="12272" width="13.7109375" style="17" customWidth="1"/>
    <col min="12273" max="12273" width="12" style="17" customWidth="1"/>
    <col min="12274" max="12274" width="11.5703125" style="17" customWidth="1"/>
    <col min="12275" max="12275" width="10.42578125" style="17" customWidth="1"/>
    <col min="12276" max="12473" width="9.140625" style="17"/>
    <col min="12474" max="12474" width="5.5703125" style="17" customWidth="1"/>
    <col min="12475" max="12515" width="0" style="17" hidden="1" customWidth="1"/>
    <col min="12516" max="12516" width="26.140625" style="17" customWidth="1"/>
    <col min="12517" max="12517" width="14" style="17" customWidth="1"/>
    <col min="12518" max="12518" width="13.5703125" style="17" customWidth="1"/>
    <col min="12519" max="12519" width="10.7109375" style="17" customWidth="1"/>
    <col min="12520" max="12520" width="20" style="17" customWidth="1"/>
    <col min="12521" max="12521" width="12" style="17" customWidth="1"/>
    <col min="12522" max="12522" width="9.5703125" style="17" customWidth="1"/>
    <col min="12523" max="12523" width="12.42578125" style="17" customWidth="1"/>
    <col min="12524" max="12524" width="21.7109375" style="17" customWidth="1"/>
    <col min="12525" max="12525" width="18.28515625" style="17" customWidth="1"/>
    <col min="12526" max="12526" width="11.42578125" style="17" customWidth="1"/>
    <col min="12527" max="12528" width="13.7109375" style="17" customWidth="1"/>
    <col min="12529" max="12529" width="12" style="17" customWidth="1"/>
    <col min="12530" max="12530" width="11.5703125" style="17" customWidth="1"/>
    <col min="12531" max="12531" width="10.42578125" style="17" customWidth="1"/>
    <col min="12532" max="12729" width="9.140625" style="17"/>
    <col min="12730" max="12730" width="5.5703125" style="17" customWidth="1"/>
    <col min="12731" max="12771" width="0" style="17" hidden="1" customWidth="1"/>
    <col min="12772" max="12772" width="26.140625" style="17" customWidth="1"/>
    <col min="12773" max="12773" width="14" style="17" customWidth="1"/>
    <col min="12774" max="12774" width="13.5703125" style="17" customWidth="1"/>
    <col min="12775" max="12775" width="10.7109375" style="17" customWidth="1"/>
    <col min="12776" max="12776" width="20" style="17" customWidth="1"/>
    <col min="12777" max="12777" width="12" style="17" customWidth="1"/>
    <col min="12778" max="12778" width="9.5703125" style="17" customWidth="1"/>
    <col min="12779" max="12779" width="12.42578125" style="17" customWidth="1"/>
    <col min="12780" max="12780" width="21.7109375" style="17" customWidth="1"/>
    <col min="12781" max="12781" width="18.28515625" style="17" customWidth="1"/>
    <col min="12782" max="12782" width="11.42578125" style="17" customWidth="1"/>
    <col min="12783" max="12784" width="13.7109375" style="17" customWidth="1"/>
    <col min="12785" max="12785" width="12" style="17" customWidth="1"/>
    <col min="12786" max="12786" width="11.5703125" style="17" customWidth="1"/>
    <col min="12787" max="12787" width="10.42578125" style="17" customWidth="1"/>
    <col min="12788" max="12985" width="9.140625" style="17"/>
    <col min="12986" max="12986" width="5.5703125" style="17" customWidth="1"/>
    <col min="12987" max="13027" width="0" style="17" hidden="1" customWidth="1"/>
    <col min="13028" max="13028" width="26.140625" style="17" customWidth="1"/>
    <col min="13029" max="13029" width="14" style="17" customWidth="1"/>
    <col min="13030" max="13030" width="13.5703125" style="17" customWidth="1"/>
    <col min="13031" max="13031" width="10.7109375" style="17" customWidth="1"/>
    <col min="13032" max="13032" width="20" style="17" customWidth="1"/>
    <col min="13033" max="13033" width="12" style="17" customWidth="1"/>
    <col min="13034" max="13034" width="9.5703125" style="17" customWidth="1"/>
    <col min="13035" max="13035" width="12.42578125" style="17" customWidth="1"/>
    <col min="13036" max="13036" width="21.7109375" style="17" customWidth="1"/>
    <col min="13037" max="13037" width="18.28515625" style="17" customWidth="1"/>
    <col min="13038" max="13038" width="11.42578125" style="17" customWidth="1"/>
    <col min="13039" max="13040" width="13.7109375" style="17" customWidth="1"/>
    <col min="13041" max="13041" width="12" style="17" customWidth="1"/>
    <col min="13042" max="13042" width="11.5703125" style="17" customWidth="1"/>
    <col min="13043" max="13043" width="10.42578125" style="17" customWidth="1"/>
    <col min="13044" max="13241" width="9.140625" style="17"/>
    <col min="13242" max="13242" width="5.5703125" style="17" customWidth="1"/>
    <col min="13243" max="13283" width="0" style="17" hidden="1" customWidth="1"/>
    <col min="13284" max="13284" width="26.140625" style="17" customWidth="1"/>
    <col min="13285" max="13285" width="14" style="17" customWidth="1"/>
    <col min="13286" max="13286" width="13.5703125" style="17" customWidth="1"/>
    <col min="13287" max="13287" width="10.7109375" style="17" customWidth="1"/>
    <col min="13288" max="13288" width="20" style="17" customWidth="1"/>
    <col min="13289" max="13289" width="12" style="17" customWidth="1"/>
    <col min="13290" max="13290" width="9.5703125" style="17" customWidth="1"/>
    <col min="13291" max="13291" width="12.42578125" style="17" customWidth="1"/>
    <col min="13292" max="13292" width="21.7109375" style="17" customWidth="1"/>
    <col min="13293" max="13293" width="18.28515625" style="17" customWidth="1"/>
    <col min="13294" max="13294" width="11.42578125" style="17" customWidth="1"/>
    <col min="13295" max="13296" width="13.7109375" style="17" customWidth="1"/>
    <col min="13297" max="13297" width="12" style="17" customWidth="1"/>
    <col min="13298" max="13298" width="11.5703125" style="17" customWidth="1"/>
    <col min="13299" max="13299" width="10.42578125" style="17" customWidth="1"/>
    <col min="13300" max="13497" width="9.140625" style="17"/>
    <col min="13498" max="13498" width="5.5703125" style="17" customWidth="1"/>
    <col min="13499" max="13539" width="0" style="17" hidden="1" customWidth="1"/>
    <col min="13540" max="13540" width="26.140625" style="17" customWidth="1"/>
    <col min="13541" max="13541" width="14" style="17" customWidth="1"/>
    <col min="13542" max="13542" width="13.5703125" style="17" customWidth="1"/>
    <col min="13543" max="13543" width="10.7109375" style="17" customWidth="1"/>
    <col min="13544" max="13544" width="20" style="17" customWidth="1"/>
    <col min="13545" max="13545" width="12" style="17" customWidth="1"/>
    <col min="13546" max="13546" width="9.5703125" style="17" customWidth="1"/>
    <col min="13547" max="13547" width="12.42578125" style="17" customWidth="1"/>
    <col min="13548" max="13548" width="21.7109375" style="17" customWidth="1"/>
    <col min="13549" max="13549" width="18.28515625" style="17" customWidth="1"/>
    <col min="13550" max="13550" width="11.42578125" style="17" customWidth="1"/>
    <col min="13551" max="13552" width="13.7109375" style="17" customWidth="1"/>
    <col min="13553" max="13553" width="12" style="17" customWidth="1"/>
    <col min="13554" max="13554" width="11.5703125" style="17" customWidth="1"/>
    <col min="13555" max="13555" width="10.42578125" style="17" customWidth="1"/>
    <col min="13556" max="13753" width="9.140625" style="17"/>
    <col min="13754" max="13754" width="5.5703125" style="17" customWidth="1"/>
    <col min="13755" max="13795" width="0" style="17" hidden="1" customWidth="1"/>
    <col min="13796" max="13796" width="26.140625" style="17" customWidth="1"/>
    <col min="13797" max="13797" width="14" style="17" customWidth="1"/>
    <col min="13798" max="13798" width="13.5703125" style="17" customWidth="1"/>
    <col min="13799" max="13799" width="10.7109375" style="17" customWidth="1"/>
    <col min="13800" max="13800" width="20" style="17" customWidth="1"/>
    <col min="13801" max="13801" width="12" style="17" customWidth="1"/>
    <col min="13802" max="13802" width="9.5703125" style="17" customWidth="1"/>
    <col min="13803" max="13803" width="12.42578125" style="17" customWidth="1"/>
    <col min="13804" max="13804" width="21.7109375" style="17" customWidth="1"/>
    <col min="13805" max="13805" width="18.28515625" style="17" customWidth="1"/>
    <col min="13806" max="13806" width="11.42578125" style="17" customWidth="1"/>
    <col min="13807" max="13808" width="13.7109375" style="17" customWidth="1"/>
    <col min="13809" max="13809" width="12" style="17" customWidth="1"/>
    <col min="13810" max="13810" width="11.5703125" style="17" customWidth="1"/>
    <col min="13811" max="13811" width="10.42578125" style="17" customWidth="1"/>
    <col min="13812" max="14009" width="9.140625" style="17"/>
    <col min="14010" max="14010" width="5.5703125" style="17" customWidth="1"/>
    <col min="14011" max="14051" width="0" style="17" hidden="1" customWidth="1"/>
    <col min="14052" max="14052" width="26.140625" style="17" customWidth="1"/>
    <col min="14053" max="14053" width="14" style="17" customWidth="1"/>
    <col min="14054" max="14054" width="13.5703125" style="17" customWidth="1"/>
    <col min="14055" max="14055" width="10.7109375" style="17" customWidth="1"/>
    <col min="14056" max="14056" width="20" style="17" customWidth="1"/>
    <col min="14057" max="14057" width="12" style="17" customWidth="1"/>
    <col min="14058" max="14058" width="9.5703125" style="17" customWidth="1"/>
    <col min="14059" max="14059" width="12.42578125" style="17" customWidth="1"/>
    <col min="14060" max="14060" width="21.7109375" style="17" customWidth="1"/>
    <col min="14061" max="14061" width="18.28515625" style="17" customWidth="1"/>
    <col min="14062" max="14062" width="11.42578125" style="17" customWidth="1"/>
    <col min="14063" max="14064" width="13.7109375" style="17" customWidth="1"/>
    <col min="14065" max="14065" width="12" style="17" customWidth="1"/>
    <col min="14066" max="14066" width="11.5703125" style="17" customWidth="1"/>
    <col min="14067" max="14067" width="10.42578125" style="17" customWidth="1"/>
    <col min="14068" max="14265" width="9.140625" style="17"/>
    <col min="14266" max="14266" width="5.5703125" style="17" customWidth="1"/>
    <col min="14267" max="14307" width="0" style="17" hidden="1" customWidth="1"/>
    <col min="14308" max="14308" width="26.140625" style="17" customWidth="1"/>
    <col min="14309" max="14309" width="14" style="17" customWidth="1"/>
    <col min="14310" max="14310" width="13.5703125" style="17" customWidth="1"/>
    <col min="14311" max="14311" width="10.7109375" style="17" customWidth="1"/>
    <col min="14312" max="14312" width="20" style="17" customWidth="1"/>
    <col min="14313" max="14313" width="12" style="17" customWidth="1"/>
    <col min="14314" max="14314" width="9.5703125" style="17" customWidth="1"/>
    <col min="14315" max="14315" width="12.42578125" style="17" customWidth="1"/>
    <col min="14316" max="14316" width="21.7109375" style="17" customWidth="1"/>
    <col min="14317" max="14317" width="18.28515625" style="17" customWidth="1"/>
    <col min="14318" max="14318" width="11.42578125" style="17" customWidth="1"/>
    <col min="14319" max="14320" width="13.7109375" style="17" customWidth="1"/>
    <col min="14321" max="14321" width="12" style="17" customWidth="1"/>
    <col min="14322" max="14322" width="11.5703125" style="17" customWidth="1"/>
    <col min="14323" max="14323" width="10.42578125" style="17" customWidth="1"/>
    <col min="14324" max="14521" width="9.140625" style="17"/>
    <col min="14522" max="14522" width="5.5703125" style="17" customWidth="1"/>
    <col min="14523" max="14563" width="0" style="17" hidden="1" customWidth="1"/>
    <col min="14564" max="14564" width="26.140625" style="17" customWidth="1"/>
    <col min="14565" max="14565" width="14" style="17" customWidth="1"/>
    <col min="14566" max="14566" width="13.5703125" style="17" customWidth="1"/>
    <col min="14567" max="14567" width="10.7109375" style="17" customWidth="1"/>
    <col min="14568" max="14568" width="20" style="17" customWidth="1"/>
    <col min="14569" max="14569" width="12" style="17" customWidth="1"/>
    <col min="14570" max="14570" width="9.5703125" style="17" customWidth="1"/>
    <col min="14571" max="14571" width="12.42578125" style="17" customWidth="1"/>
    <col min="14572" max="14572" width="21.7109375" style="17" customWidth="1"/>
    <col min="14573" max="14573" width="18.28515625" style="17" customWidth="1"/>
    <col min="14574" max="14574" width="11.42578125" style="17" customWidth="1"/>
    <col min="14575" max="14576" width="13.7109375" style="17" customWidth="1"/>
    <col min="14577" max="14577" width="12" style="17" customWidth="1"/>
    <col min="14578" max="14578" width="11.5703125" style="17" customWidth="1"/>
    <col min="14579" max="14579" width="10.42578125" style="17" customWidth="1"/>
    <col min="14580" max="14777" width="9.140625" style="17"/>
    <col min="14778" max="14778" width="5.5703125" style="17" customWidth="1"/>
    <col min="14779" max="14819" width="0" style="17" hidden="1" customWidth="1"/>
    <col min="14820" max="14820" width="26.140625" style="17" customWidth="1"/>
    <col min="14821" max="14821" width="14" style="17" customWidth="1"/>
    <col min="14822" max="14822" width="13.5703125" style="17" customWidth="1"/>
    <col min="14823" max="14823" width="10.7109375" style="17" customWidth="1"/>
    <col min="14824" max="14824" width="20" style="17" customWidth="1"/>
    <col min="14825" max="14825" width="12" style="17" customWidth="1"/>
    <col min="14826" max="14826" width="9.5703125" style="17" customWidth="1"/>
    <col min="14827" max="14827" width="12.42578125" style="17" customWidth="1"/>
    <col min="14828" max="14828" width="21.7109375" style="17" customWidth="1"/>
    <col min="14829" max="14829" width="18.28515625" style="17" customWidth="1"/>
    <col min="14830" max="14830" width="11.42578125" style="17" customWidth="1"/>
    <col min="14831" max="14832" width="13.7109375" style="17" customWidth="1"/>
    <col min="14833" max="14833" width="12" style="17" customWidth="1"/>
    <col min="14834" max="14834" width="11.5703125" style="17" customWidth="1"/>
    <col min="14835" max="14835" width="10.42578125" style="17" customWidth="1"/>
    <col min="14836" max="15033" width="9.140625" style="17"/>
    <col min="15034" max="15034" width="5.5703125" style="17" customWidth="1"/>
    <col min="15035" max="15075" width="0" style="17" hidden="1" customWidth="1"/>
    <col min="15076" max="15076" width="26.140625" style="17" customWidth="1"/>
    <col min="15077" max="15077" width="14" style="17" customWidth="1"/>
    <col min="15078" max="15078" width="13.5703125" style="17" customWidth="1"/>
    <col min="15079" max="15079" width="10.7109375" style="17" customWidth="1"/>
    <col min="15080" max="15080" width="20" style="17" customWidth="1"/>
    <col min="15081" max="15081" width="12" style="17" customWidth="1"/>
    <col min="15082" max="15082" width="9.5703125" style="17" customWidth="1"/>
    <col min="15083" max="15083" width="12.42578125" style="17" customWidth="1"/>
    <col min="15084" max="15084" width="21.7109375" style="17" customWidth="1"/>
    <col min="15085" max="15085" width="18.28515625" style="17" customWidth="1"/>
    <col min="15086" max="15086" width="11.42578125" style="17" customWidth="1"/>
    <col min="15087" max="15088" width="13.7109375" style="17" customWidth="1"/>
    <col min="15089" max="15089" width="12" style="17" customWidth="1"/>
    <col min="15090" max="15090" width="11.5703125" style="17" customWidth="1"/>
    <col min="15091" max="15091" width="10.42578125" style="17" customWidth="1"/>
    <col min="15092" max="15289" width="9.140625" style="17"/>
    <col min="15290" max="15290" width="5.5703125" style="17" customWidth="1"/>
    <col min="15291" max="15331" width="0" style="17" hidden="1" customWidth="1"/>
    <col min="15332" max="15332" width="26.140625" style="17" customWidth="1"/>
    <col min="15333" max="15333" width="14" style="17" customWidth="1"/>
    <col min="15334" max="15334" width="13.5703125" style="17" customWidth="1"/>
    <col min="15335" max="15335" width="10.7109375" style="17" customWidth="1"/>
    <col min="15336" max="15336" width="20" style="17" customWidth="1"/>
    <col min="15337" max="15337" width="12" style="17" customWidth="1"/>
    <col min="15338" max="15338" width="9.5703125" style="17" customWidth="1"/>
    <col min="15339" max="15339" width="12.42578125" style="17" customWidth="1"/>
    <col min="15340" max="15340" width="21.7109375" style="17" customWidth="1"/>
    <col min="15341" max="15341" width="18.28515625" style="17" customWidth="1"/>
    <col min="15342" max="15342" width="11.42578125" style="17" customWidth="1"/>
    <col min="15343" max="15344" width="13.7109375" style="17" customWidth="1"/>
    <col min="15345" max="15345" width="12" style="17" customWidth="1"/>
    <col min="15346" max="15346" width="11.5703125" style="17" customWidth="1"/>
    <col min="15347" max="15347" width="10.42578125" style="17" customWidth="1"/>
    <col min="15348" max="15545" width="9.140625" style="17"/>
    <col min="15546" max="15546" width="5.5703125" style="17" customWidth="1"/>
    <col min="15547" max="15587" width="0" style="17" hidden="1" customWidth="1"/>
    <col min="15588" max="15588" width="26.140625" style="17" customWidth="1"/>
    <col min="15589" max="15589" width="14" style="17" customWidth="1"/>
    <col min="15590" max="15590" width="13.5703125" style="17" customWidth="1"/>
    <col min="15591" max="15591" width="10.7109375" style="17" customWidth="1"/>
    <col min="15592" max="15592" width="20" style="17" customWidth="1"/>
    <col min="15593" max="15593" width="12" style="17" customWidth="1"/>
    <col min="15594" max="15594" width="9.5703125" style="17" customWidth="1"/>
    <col min="15595" max="15595" width="12.42578125" style="17" customWidth="1"/>
    <col min="15596" max="15596" width="21.7109375" style="17" customWidth="1"/>
    <col min="15597" max="15597" width="18.28515625" style="17" customWidth="1"/>
    <col min="15598" max="15598" width="11.42578125" style="17" customWidth="1"/>
    <col min="15599" max="15600" width="13.7109375" style="17" customWidth="1"/>
    <col min="15601" max="15601" width="12" style="17" customWidth="1"/>
    <col min="15602" max="15602" width="11.5703125" style="17" customWidth="1"/>
    <col min="15603" max="15603" width="10.42578125" style="17" customWidth="1"/>
    <col min="15604" max="15801" width="9.140625" style="17"/>
    <col min="15802" max="15802" width="5.5703125" style="17" customWidth="1"/>
    <col min="15803" max="15843" width="0" style="17" hidden="1" customWidth="1"/>
    <col min="15844" max="15844" width="26.140625" style="17" customWidth="1"/>
    <col min="15845" max="15845" width="14" style="17" customWidth="1"/>
    <col min="15846" max="15846" width="13.5703125" style="17" customWidth="1"/>
    <col min="15847" max="15847" width="10.7109375" style="17" customWidth="1"/>
    <col min="15848" max="15848" width="20" style="17" customWidth="1"/>
    <col min="15849" max="15849" width="12" style="17" customWidth="1"/>
    <col min="15850" max="15850" width="9.5703125" style="17" customWidth="1"/>
    <col min="15851" max="15851" width="12.42578125" style="17" customWidth="1"/>
    <col min="15852" max="15852" width="21.7109375" style="17" customWidth="1"/>
    <col min="15853" max="15853" width="18.28515625" style="17" customWidth="1"/>
    <col min="15854" max="15854" width="11.42578125" style="17" customWidth="1"/>
    <col min="15855" max="15856" width="13.7109375" style="17" customWidth="1"/>
    <col min="15857" max="15857" width="12" style="17" customWidth="1"/>
    <col min="15858" max="15858" width="11.5703125" style="17" customWidth="1"/>
    <col min="15859" max="15859" width="10.42578125" style="17" customWidth="1"/>
    <col min="15860" max="16057" width="9.140625" style="17"/>
    <col min="16058" max="16058" width="5.5703125" style="17" customWidth="1"/>
    <col min="16059" max="16099" width="0" style="17" hidden="1" customWidth="1"/>
    <col min="16100" max="16100" width="26.140625" style="17" customWidth="1"/>
    <col min="16101" max="16101" width="14" style="17" customWidth="1"/>
    <col min="16102" max="16102" width="13.5703125" style="17" customWidth="1"/>
    <col min="16103" max="16103" width="10.7109375" style="17" customWidth="1"/>
    <col min="16104" max="16104" width="20" style="17" customWidth="1"/>
    <col min="16105" max="16105" width="12" style="17" customWidth="1"/>
    <col min="16106" max="16106" width="9.5703125" style="17" customWidth="1"/>
    <col min="16107" max="16107" width="12.42578125" style="17" customWidth="1"/>
    <col min="16108" max="16108" width="21.7109375" style="17" customWidth="1"/>
    <col min="16109" max="16109" width="18.28515625" style="17" customWidth="1"/>
    <col min="16110" max="16110" width="11.42578125" style="17" customWidth="1"/>
    <col min="16111" max="16112" width="13.7109375" style="17" customWidth="1"/>
    <col min="16113" max="16113" width="12" style="17" customWidth="1"/>
    <col min="16114" max="16114" width="11.5703125" style="17" customWidth="1"/>
    <col min="16115" max="16115" width="10.42578125" style="17" customWidth="1"/>
    <col min="16116" max="16384" width="9.140625" style="17"/>
  </cols>
  <sheetData>
    <row r="1" spans="1:56" ht="36" customHeight="1" x14ac:dyDescent="0.25"/>
    <row r="2" spans="1:56" s="19" customFormat="1" ht="115.5" customHeight="1" x14ac:dyDescent="0.25">
      <c r="A2" s="74"/>
      <c r="B2" s="5"/>
      <c r="C2" s="7"/>
      <c r="D2" s="7"/>
      <c r="E2" s="7"/>
      <c r="F2" s="7"/>
      <c r="G2" s="7"/>
      <c r="H2" s="7"/>
      <c r="I2" s="7"/>
      <c r="J2" s="6"/>
      <c r="K2" s="7"/>
      <c r="L2" s="7"/>
      <c r="AF2" s="20"/>
      <c r="AH2" s="20"/>
    </row>
    <row r="3" spans="1:56" s="19" customFormat="1" ht="38.25" customHeight="1" x14ac:dyDescent="0.25">
      <c r="A3" s="74"/>
      <c r="B3" s="303" t="s">
        <v>70</v>
      </c>
      <c r="C3" s="303"/>
      <c r="D3" s="303"/>
      <c r="E3" s="303"/>
      <c r="F3" s="303"/>
      <c r="G3" s="303"/>
      <c r="H3" s="303"/>
      <c r="I3" s="303"/>
      <c r="J3" s="303"/>
      <c r="K3" s="303"/>
      <c r="L3" s="303"/>
      <c r="AF3" s="20"/>
      <c r="AH3" s="20"/>
    </row>
    <row r="4" spans="1:56" s="19" customFormat="1" ht="18.75" customHeight="1" thickBot="1" x14ac:dyDescent="0.3">
      <c r="A4" s="74"/>
      <c r="B4" s="21"/>
      <c r="C4" s="21"/>
      <c r="D4" s="21"/>
      <c r="E4" s="21"/>
      <c r="F4" s="21"/>
      <c r="G4" s="21"/>
      <c r="H4" s="21"/>
      <c r="I4" s="21"/>
      <c r="J4" s="21"/>
      <c r="K4" s="21"/>
      <c r="L4" s="21"/>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row>
    <row r="5" spans="1:56" s="19" customFormat="1" ht="38.25" customHeight="1" thickBot="1" x14ac:dyDescent="0.3">
      <c r="A5" s="74"/>
      <c r="B5" s="5"/>
      <c r="C5" s="71" t="s">
        <v>156</v>
      </c>
      <c r="D5" s="7"/>
      <c r="E5" s="84"/>
      <c r="F5" s="79"/>
      <c r="G5" s="7"/>
      <c r="H5" s="42" t="s">
        <v>71</v>
      </c>
      <c r="I5" s="9">
        <f>SUM(F10:F39)</f>
        <v>0</v>
      </c>
      <c r="J5" s="7"/>
      <c r="K5" s="44" t="s">
        <v>58</v>
      </c>
      <c r="L5" s="22" t="s">
        <v>72</v>
      </c>
      <c r="N5" s="125"/>
      <c r="O5" s="125"/>
      <c r="P5" s="125"/>
      <c r="Q5" s="125"/>
      <c r="R5" s="125"/>
      <c r="S5" s="125"/>
      <c r="T5" s="125"/>
      <c r="U5" s="125"/>
      <c r="V5" s="125"/>
      <c r="W5" s="125" t="s">
        <v>96</v>
      </c>
      <c r="X5" s="125"/>
      <c r="Y5" s="125" t="s">
        <v>97</v>
      </c>
      <c r="Z5" s="125"/>
      <c r="AA5" s="125"/>
      <c r="AB5" s="125"/>
      <c r="AC5" s="125" t="s">
        <v>54</v>
      </c>
      <c r="AD5" s="125"/>
      <c r="AE5" s="125"/>
      <c r="AF5" s="125"/>
      <c r="AG5" s="125" t="s">
        <v>119</v>
      </c>
      <c r="AH5" s="125"/>
      <c r="AI5" s="125" t="s">
        <v>120</v>
      </c>
      <c r="AJ5" s="125"/>
      <c r="AK5" s="125"/>
      <c r="AL5" s="125"/>
      <c r="AM5" s="125"/>
      <c r="AN5" s="125"/>
      <c r="AO5" s="125"/>
      <c r="AP5" s="125"/>
      <c r="AQ5" s="125"/>
      <c r="AR5" s="125"/>
      <c r="AS5" s="125"/>
      <c r="AT5" s="125"/>
      <c r="AU5" s="125"/>
    </row>
    <row r="6" spans="1:56" s="19" customFormat="1" ht="33" customHeight="1" thickBot="1" x14ac:dyDescent="0.3">
      <c r="A6" s="74"/>
      <c r="B6" s="5"/>
      <c r="C6" s="72"/>
      <c r="D6" s="7"/>
      <c r="E6" s="85"/>
      <c r="F6" s="79"/>
      <c r="G6" s="7"/>
      <c r="H6" s="43" t="s">
        <v>73</v>
      </c>
      <c r="I6" s="10">
        <f>SUM(H10:H39)</f>
        <v>0</v>
      </c>
      <c r="J6" s="23"/>
      <c r="K6" s="24">
        <v>32</v>
      </c>
      <c r="L6" s="11">
        <f>I7*K6</f>
        <v>0</v>
      </c>
      <c r="N6" s="125"/>
      <c r="O6" s="125"/>
      <c r="P6" s="125"/>
      <c r="Q6" s="125"/>
      <c r="R6" s="125"/>
      <c r="S6" s="125"/>
      <c r="T6" s="125"/>
      <c r="U6" s="125"/>
      <c r="V6" s="126" t="s">
        <v>108</v>
      </c>
      <c r="W6" s="127">
        <v>1.25</v>
      </c>
      <c r="X6" s="125"/>
      <c r="Y6" s="128">
        <v>1.25</v>
      </c>
      <c r="Z6" s="125"/>
      <c r="AA6" s="125"/>
      <c r="AB6" s="125"/>
      <c r="AC6" s="128">
        <v>1.25</v>
      </c>
      <c r="AD6" s="125"/>
      <c r="AE6" s="125"/>
      <c r="AF6" s="125"/>
      <c r="AG6" s="128">
        <v>1.2</v>
      </c>
      <c r="AH6" s="125"/>
      <c r="AI6" s="128">
        <v>1.2</v>
      </c>
      <c r="AJ6" s="125"/>
      <c r="AK6" s="125"/>
      <c r="AL6" s="125"/>
      <c r="AM6" s="125"/>
      <c r="AN6" s="125"/>
      <c r="AO6" s="125"/>
      <c r="AP6" s="125"/>
      <c r="AQ6" s="125"/>
      <c r="AR6" s="125"/>
      <c r="AS6" s="125"/>
      <c r="AT6" s="125"/>
      <c r="AU6" s="125"/>
    </row>
    <row r="7" spans="1:56" s="19" customFormat="1" ht="39.75" customHeight="1" thickBot="1" x14ac:dyDescent="0.3">
      <c r="A7" s="74"/>
      <c r="B7" s="5"/>
      <c r="D7" s="69"/>
      <c r="E7" s="69"/>
      <c r="F7" s="69"/>
      <c r="G7" s="70"/>
      <c r="H7" s="86" t="s">
        <v>127</v>
      </c>
      <c r="I7" s="10">
        <f>SUM(J10:J39)*(1-L7)</f>
        <v>0</v>
      </c>
      <c r="J7" s="26"/>
      <c r="K7" s="75" t="s">
        <v>159</v>
      </c>
      <c r="L7" s="76"/>
      <c r="N7" s="308" t="s">
        <v>107</v>
      </c>
      <c r="O7" s="309"/>
      <c r="P7" s="309"/>
      <c r="Q7" s="125"/>
      <c r="R7" s="125"/>
      <c r="S7" s="125"/>
      <c r="T7" s="125"/>
      <c r="U7" s="125"/>
      <c r="V7" s="126" t="s">
        <v>109</v>
      </c>
      <c r="W7" s="127">
        <v>1.58</v>
      </c>
      <c r="X7" s="125"/>
      <c r="Y7" s="128">
        <v>1.58</v>
      </c>
      <c r="Z7" s="125"/>
      <c r="AA7" s="125"/>
      <c r="AB7" s="125"/>
      <c r="AC7" s="128">
        <v>1.58</v>
      </c>
      <c r="AD7" s="125"/>
      <c r="AE7" s="125"/>
      <c r="AF7" s="125"/>
      <c r="AG7" s="125"/>
      <c r="AH7" s="125"/>
      <c r="AI7" s="125"/>
      <c r="AJ7" s="125"/>
      <c r="AK7" s="125"/>
      <c r="AL7" s="125"/>
      <c r="AM7" s="125"/>
      <c r="AN7" s="125"/>
      <c r="AO7" s="125"/>
      <c r="AP7" s="125"/>
      <c r="AQ7" s="125"/>
      <c r="AR7" s="125"/>
      <c r="AS7" s="125"/>
      <c r="AT7" s="125"/>
      <c r="AU7" s="125"/>
    </row>
    <row r="8" spans="1:56" s="20" customFormat="1" ht="44.25" customHeight="1" thickBot="1" x14ac:dyDescent="0.3">
      <c r="B8" s="28"/>
      <c r="C8" s="25"/>
      <c r="D8" s="289"/>
      <c r="E8" s="290"/>
      <c r="F8" s="290"/>
      <c r="G8" s="25"/>
      <c r="H8" s="29"/>
      <c r="I8" s="19"/>
      <c r="K8" s="27"/>
      <c r="L8" s="30"/>
      <c r="N8" s="129">
        <v>1.2</v>
      </c>
      <c r="O8" s="129">
        <v>1.25</v>
      </c>
      <c r="P8" s="129">
        <v>1.1200000000000001</v>
      </c>
      <c r="Q8" s="125"/>
      <c r="R8" s="125"/>
      <c r="S8" s="125"/>
      <c r="T8" s="125"/>
      <c r="U8" s="125"/>
      <c r="V8" s="299" t="s">
        <v>95</v>
      </c>
      <c r="W8" s="300"/>
      <c r="X8" s="301"/>
      <c r="Y8" s="301"/>
      <c r="Z8" s="301"/>
      <c r="AA8" s="301"/>
      <c r="AB8" s="301"/>
      <c r="AC8" s="301"/>
      <c r="AD8" s="301"/>
      <c r="AE8" s="301"/>
      <c r="AF8" s="301"/>
      <c r="AG8" s="301"/>
      <c r="AH8" s="301"/>
      <c r="AI8" s="301"/>
      <c r="AJ8" s="301"/>
      <c r="AK8" s="301"/>
      <c r="AL8" s="125"/>
      <c r="AM8" s="125"/>
      <c r="AN8" s="125"/>
      <c r="AO8" s="125"/>
      <c r="AP8" s="125"/>
      <c r="AQ8" s="125"/>
      <c r="AR8" s="125"/>
      <c r="AS8" s="125"/>
      <c r="AT8" s="125"/>
      <c r="AU8" s="125"/>
    </row>
    <row r="9" spans="1:56" s="19" customFormat="1" ht="55.5" customHeight="1" thickBot="1" x14ac:dyDescent="0.3">
      <c r="A9" s="74"/>
      <c r="B9" s="61" t="s">
        <v>5</v>
      </c>
      <c r="C9" s="62" t="s">
        <v>74</v>
      </c>
      <c r="D9" s="63" t="s">
        <v>75</v>
      </c>
      <c r="E9" s="62" t="s">
        <v>76</v>
      </c>
      <c r="F9" s="63" t="s">
        <v>77</v>
      </c>
      <c r="G9" s="62" t="s">
        <v>42</v>
      </c>
      <c r="H9" s="63" t="s">
        <v>78</v>
      </c>
      <c r="I9" s="62" t="s">
        <v>157</v>
      </c>
      <c r="J9" s="73" t="s">
        <v>158</v>
      </c>
      <c r="K9" s="304" t="s">
        <v>126</v>
      </c>
      <c r="L9" s="305"/>
      <c r="N9" s="134" t="s">
        <v>106</v>
      </c>
      <c r="O9" s="134" t="s">
        <v>105</v>
      </c>
      <c r="P9" s="134" t="s">
        <v>104</v>
      </c>
      <c r="Q9" s="125"/>
      <c r="R9" s="125"/>
      <c r="S9" s="125"/>
      <c r="T9" s="129" t="s">
        <v>103</v>
      </c>
      <c r="U9" s="129" t="s">
        <v>86</v>
      </c>
      <c r="V9" s="129" t="s">
        <v>96</v>
      </c>
      <c r="W9" s="129" t="s">
        <v>101</v>
      </c>
      <c r="X9" s="129" t="s">
        <v>97</v>
      </c>
      <c r="Y9" s="129" t="s">
        <v>101</v>
      </c>
      <c r="Z9" s="129" t="s">
        <v>38</v>
      </c>
      <c r="AA9" s="129" t="s">
        <v>101</v>
      </c>
      <c r="AB9" s="129" t="s">
        <v>254</v>
      </c>
      <c r="AC9" s="129"/>
      <c r="AD9" s="129" t="s">
        <v>93</v>
      </c>
      <c r="AE9" s="129" t="s">
        <v>101</v>
      </c>
      <c r="AF9" s="129" t="s">
        <v>124</v>
      </c>
      <c r="AG9" s="129" t="s">
        <v>101</v>
      </c>
      <c r="AH9" s="129" t="s">
        <v>125</v>
      </c>
      <c r="AI9" s="129" t="s">
        <v>101</v>
      </c>
      <c r="AJ9" s="129" t="s">
        <v>94</v>
      </c>
      <c r="AK9" s="129" t="s">
        <v>101</v>
      </c>
      <c r="AL9" s="129" t="s">
        <v>21</v>
      </c>
      <c r="AM9" s="129" t="s">
        <v>101</v>
      </c>
      <c r="AN9" s="135" t="s">
        <v>23</v>
      </c>
      <c r="AO9" s="129" t="s">
        <v>101</v>
      </c>
      <c r="AP9" s="129" t="s">
        <v>4</v>
      </c>
      <c r="AQ9" s="129" t="s">
        <v>101</v>
      </c>
      <c r="AR9" s="129" t="s">
        <v>24</v>
      </c>
      <c r="AS9" s="129" t="s">
        <v>101</v>
      </c>
      <c r="AT9" s="135" t="s">
        <v>25</v>
      </c>
      <c r="AU9" s="129" t="s">
        <v>101</v>
      </c>
      <c r="BB9" s="87" t="s">
        <v>80</v>
      </c>
      <c r="BC9" s="87" t="s">
        <v>253</v>
      </c>
      <c r="BD9" s="87" t="s">
        <v>12</v>
      </c>
    </row>
    <row r="10" spans="1:56" s="19" customFormat="1" ht="32.25" customHeight="1" x14ac:dyDescent="0.25">
      <c r="A10" s="74" t="str">
        <f>CONCATENATE(C10,G10)</f>
        <v/>
      </c>
      <c r="B10" s="58">
        <v>1</v>
      </c>
      <c r="C10" s="59"/>
      <c r="D10" s="57"/>
      <c r="E10" s="57"/>
      <c r="F10" s="57"/>
      <c r="G10" s="57"/>
      <c r="H10" s="60">
        <f t="shared" ref="H10:H37" si="0">((D10*E10)*F10)/1000000</f>
        <v>0</v>
      </c>
      <c r="I10" s="60">
        <f>IF(A10="5-ти элемUA22 Smart","Нет материала",IF(A10="5-ти элемUA08 Smart","Нет материала",IF(C10="5-ти элем",IF(D10&lt;$D$55,"Ошибка в длине",IF(E10&lt;$F$55,"Ошибка в ширине","ок")),IF(C10="Витрина",IF(D10&lt;$D$56,"Ошибка в длине",IF(E10&lt;$F$56,"Ошибка в ширине","ок")),IF(C10="3-х элем",IF(D10&lt;$D$54,"Ошибка в длине",IF(E10&lt;$F$54,"Ошибка в ширине","ок")),IF(C10="Гладкий",IF(D10&lt;$D$53,"Ошибка в длине",IF(E10&lt;$F$53,"Ошибка в ширине","ок")),0))))))</f>
        <v>0</v>
      </c>
      <c r="J10" s="94">
        <f>IF(OR(AND(C10="5-ти элем",G10="SO60 Engadina")),"Ошибка",N10)</f>
        <v>0</v>
      </c>
      <c r="K10" s="310" t="s">
        <v>128</v>
      </c>
      <c r="L10" s="93" t="s">
        <v>60</v>
      </c>
      <c r="M10" s="32"/>
      <c r="N10" s="130">
        <f>O10*1.2</f>
        <v>0</v>
      </c>
      <c r="O10" s="130">
        <f>P10*1.25</f>
        <v>0</v>
      </c>
      <c r="P10" s="130">
        <f>(W10+Y10+AA10+AC10+AE10+AK10+AM10+AO10+AQ10+AS10+AU10+AG10+AI10)*1.12</f>
        <v>0</v>
      </c>
      <c r="Q10" s="125"/>
      <c r="R10" s="125"/>
      <c r="S10" s="125"/>
      <c r="T10" s="130">
        <f>D10*E10/1000000</f>
        <v>0</v>
      </c>
      <c r="U10" s="129">
        <f>G10</f>
        <v>0</v>
      </c>
      <c r="V10" s="130">
        <f>(Бланк!AP3+Бланк!AP4)*W6</f>
        <v>0</v>
      </c>
      <c r="W10" s="130">
        <f>VLOOKUP(U10,'Исх дан мат и усл'!$C$6:$I$3600,2,FALSE)*V10*$W$7</f>
        <v>0</v>
      </c>
      <c r="X10" s="130">
        <f>IF(Бланк!AD5="Стекло",0,(Бланк!AA5*Бланк!AB5)*Бланк!AC5*Y6)/1000000</f>
        <v>0</v>
      </c>
      <c r="Y10" s="130">
        <f>VLOOKUP(U10,'Исх дан мат и усл'!$C$6:$I$3600,4,FALSE)*X10*$Y$7</f>
        <v>0</v>
      </c>
      <c r="Z10" s="130">
        <f>IF(Бланк!AD5="Стекло",Бланк!AA5*Бланк!AB5*Бланк!AC5/1000000,0)</f>
        <v>0</v>
      </c>
      <c r="AA10" s="130">
        <f>$E$6*Z10</f>
        <v>0</v>
      </c>
      <c r="AB10" s="130">
        <f>AN10*$AC$6</f>
        <v>0</v>
      </c>
      <c r="AC10" s="130">
        <f>VLOOKUP(U10,'Исх дан мат и усл'!$C$6:$I$3600,6,FALSE)*AB10*$AC$7</f>
        <v>0</v>
      </c>
      <c r="AD10" s="130">
        <f>Бланк!AI3/2</f>
        <v>0</v>
      </c>
      <c r="AE10" s="130">
        <f>VLOOKUP($AD$9,'Исх дан мат и усл'!$C$6:$E$3800,2,FALSE)*AD10</f>
        <v>0</v>
      </c>
      <c r="AF10" s="130">
        <f>F10*4</f>
        <v>0</v>
      </c>
      <c r="AG10" s="130">
        <f>VLOOKUP($AF$9,'Исх дан мат и усл'!$C$6:$E$3800,2,FALSE)*$AG$6*AF10</f>
        <v>0</v>
      </c>
      <c r="AH10" s="130">
        <f>(D10*E10)*5/1000000</f>
        <v>0</v>
      </c>
      <c r="AI10" s="130">
        <f>VLOOKUP($AH$9,'Исх дан мат и усл'!$C$6:$E$3800,2,FALSE)*$AI$6*AH10</f>
        <v>0</v>
      </c>
      <c r="AJ10" s="130">
        <f>AD10*0.002</f>
        <v>0</v>
      </c>
      <c r="AK10" s="130">
        <f>VLOOKUP($AJ$9,'Исх дан мат и усл'!$C$6:$E$3400,2,FALSE)*AJ10</f>
        <v>0</v>
      </c>
      <c r="AL10" s="130">
        <f>SUM(Бланк!AG3:AG5)</f>
        <v>0</v>
      </c>
      <c r="AM10" s="130">
        <f>VLOOKUP($AL$9,'Исх дан мат и усл'!$C$6:$E$3400,2,FALSE)*AL10</f>
        <v>0</v>
      </c>
      <c r="AN10" s="130">
        <f>Бланк!AE3+Бланк!AF3+Бланк!AF4</f>
        <v>0</v>
      </c>
      <c r="AO10" s="130">
        <f>VLOOKUP($AN$9,'Исх дан мат и усл'!$C$6:$E$3400,2,FALSE)*AN10</f>
        <v>0</v>
      </c>
      <c r="AP10" s="130">
        <f>Бланк!AH3+Бланк!AH4</f>
        <v>0</v>
      </c>
      <c r="AQ10" s="130">
        <f>VLOOKUP($AP$9,'Исх дан мат и усл'!$C$6:$E$3400,2,FALSE)*AP10</f>
        <v>0</v>
      </c>
      <c r="AR10" s="130">
        <f>Бланк!AI3</f>
        <v>0</v>
      </c>
      <c r="AS10" s="130">
        <f>VLOOKUP($AR$9,'Исх дан мат и усл'!$C$6:$E$3400,2,FALSE)*AR10</f>
        <v>0</v>
      </c>
      <c r="AT10" s="130">
        <f>Бланк!V3</f>
        <v>0</v>
      </c>
      <c r="AU10" s="130">
        <f>IF(T10&lt;0.5,'Исх дан мат и усл'!$D$26*AT10,IF(T10&lt;1,'Исх дан мат и усл'!$D$27*AT10,IF(T10&lt;2,'Исх дан мат и усл'!$D$28*AT10,'Исх дан мат и усл'!$D$29*AT10)))</f>
        <v>0</v>
      </c>
      <c r="BB10" s="19" t="s">
        <v>60</v>
      </c>
      <c r="BC10" s="87" t="s">
        <v>60</v>
      </c>
      <c r="BD10" s="87" t="s">
        <v>60</v>
      </c>
    </row>
    <row r="11" spans="1:56" s="19" customFormat="1" ht="32.25" customHeight="1" thickBot="1" x14ac:dyDescent="0.3">
      <c r="A11" s="74" t="str">
        <f t="shared" ref="A11:A38" si="1">CONCATENATE(C11,G11)</f>
        <v/>
      </c>
      <c r="B11" s="31">
        <v>2</v>
      </c>
      <c r="C11" s="59"/>
      <c r="D11" s="57"/>
      <c r="E11" s="57"/>
      <c r="F11" s="57"/>
      <c r="G11" s="57"/>
      <c r="H11" s="15">
        <f t="shared" si="0"/>
        <v>0</v>
      </c>
      <c r="I11" s="60">
        <f t="shared" ref="I11:I37" si="2">IF(A11="5-ти элемUA22 Smart","Нет материала",IF(A11="5-ти элемUA08 Smart","Нет материала",IF(C11="5-ти элем",IF(D11&lt;$D$55,"Ошибка в длине",IF(E11&lt;$F$55,"Ошибка в ширине","ок")),IF(C11="Витрина",IF(D11&lt;$D$56,"Ошибка в длине",IF(E11&lt;$F$56,"Ошибка в ширине","ок")),IF(C11="3-х элем",IF(D11&lt;$D$54,"Ошибка в длине",IF(E11&lt;$F$54,"Ошибка в ширине","ок")),IF(C11="Гладкий",IF(D11&lt;$D$53,"Ошибка в длине",IF(E11&lt;$F$53,"Ошибка в ширине","ок")),0))))))</f>
        <v>0</v>
      </c>
      <c r="J11" s="94">
        <f t="shared" ref="J11:J37" si="3">IF(OR(AND(C11="5-ти элем",G11="SO60 Engadina")),"Ошибка",N11)</f>
        <v>0</v>
      </c>
      <c r="K11" s="311"/>
      <c r="L11" s="92" t="s">
        <v>59</v>
      </c>
      <c r="M11" s="32"/>
      <c r="N11" s="130">
        <f t="shared" ref="N11:N39" si="4">O11*1.2</f>
        <v>0</v>
      </c>
      <c r="O11" s="130">
        <f t="shared" ref="O11:O39" si="5">P11*1.25</f>
        <v>0</v>
      </c>
      <c r="P11" s="130">
        <f t="shared" ref="P11:P39" si="6">(W11+Y11+AA11+AC11+AE11+AK11+AM11+AO11+AQ11+AS11+AU11+AG11+AI11)*1.12</f>
        <v>0</v>
      </c>
      <c r="Q11" s="125"/>
      <c r="R11" s="125" t="s">
        <v>80</v>
      </c>
      <c r="S11" s="125">
        <v>1</v>
      </c>
      <c r="T11" s="130">
        <f t="shared" ref="T11:T38" si="7">D11*E11/1000000</f>
        <v>0</v>
      </c>
      <c r="U11" s="129">
        <f t="shared" ref="U11:U38" si="8">G11</f>
        <v>0</v>
      </c>
      <c r="V11" s="130">
        <f>(Бланк!AP6+Бланк!AP7)*W6</f>
        <v>0</v>
      </c>
      <c r="W11" s="130">
        <f>VLOOKUP(U11,'Исх дан мат и усл'!$C$6:$I$3600,2,FALSE)*V11*$W$7</f>
        <v>0</v>
      </c>
      <c r="X11" s="130">
        <f>IF(Бланк!AD8="Стекло",0,(Бланк!AA8*Бланк!AB8)*Бланк!AC8*Y6)/1000000</f>
        <v>0</v>
      </c>
      <c r="Y11" s="130">
        <f>VLOOKUP(U11,'Исх дан мат и усл'!$C$6:$I$3600,4,FALSE)*X11*$Y$7</f>
        <v>0</v>
      </c>
      <c r="Z11" s="130">
        <f>IF(Бланк!AD8="Стекло",Бланк!AA8*Бланк!AB8*Бланк!AC8/1000000,0)</f>
        <v>0</v>
      </c>
      <c r="AA11" s="130">
        <f t="shared" ref="AA11:AA39" si="9">$E$6*Z11</f>
        <v>0</v>
      </c>
      <c r="AB11" s="130">
        <f t="shared" ref="AB11:AB39" si="10">AN11*$AC$6</f>
        <v>0</v>
      </c>
      <c r="AC11" s="130">
        <f>VLOOKUP(U11,'Исх дан мат и усл'!$C$6:$I$3600,6,FALSE)*AB11*$AC$7</f>
        <v>0</v>
      </c>
      <c r="AD11" s="130">
        <f>Бланк!AI6/2</f>
        <v>0</v>
      </c>
      <c r="AE11" s="130">
        <f>VLOOKUP($AD$9,'Исх дан мат и усл'!$C$6:$E$3800,2,FALSE)*AD11</f>
        <v>0</v>
      </c>
      <c r="AF11" s="130">
        <f t="shared" ref="AF11:AF38" si="11">F11*4</f>
        <v>0</v>
      </c>
      <c r="AG11" s="130">
        <f>VLOOKUP($AF$9,'Исх дан мат и усл'!$C$6:$E$3800,2,FALSE)*$AG$6*AF11</f>
        <v>0</v>
      </c>
      <c r="AH11" s="130">
        <f t="shared" ref="AH11:AH38" si="12">(D11*E11)*5/1000000</f>
        <v>0</v>
      </c>
      <c r="AI11" s="130">
        <f>VLOOKUP($AH$9,'Исх дан мат и усл'!$C$6:$E$3800,2,FALSE)*$AI$6*AH11</f>
        <v>0</v>
      </c>
      <c r="AJ11" s="130">
        <f t="shared" ref="AJ11:AJ39" si="13">AD11*0.002</f>
        <v>0</v>
      </c>
      <c r="AK11" s="130">
        <f>VLOOKUP($AJ$9,'Исх дан мат и усл'!$C$6:$E$3400,2,FALSE)*AJ11</f>
        <v>0</v>
      </c>
      <c r="AL11" s="130">
        <f>SUM(Бланк!AG6:AG8)</f>
        <v>0</v>
      </c>
      <c r="AM11" s="130">
        <f>VLOOKUP($AL$9,'Исх дан мат и усл'!$C$6:$E$3400,2,FALSE)*AL11</f>
        <v>0</v>
      </c>
      <c r="AN11" s="130">
        <f>Бланк!AE6+Бланк!AF6+Бланк!AF7</f>
        <v>0</v>
      </c>
      <c r="AO11" s="130">
        <f>VLOOKUP($AN$9,'Исх дан мат и усл'!$C$6:$E$3400,2,FALSE)*AN11</f>
        <v>0</v>
      </c>
      <c r="AP11" s="130">
        <f>Бланк!AH6+Бланк!AH7</f>
        <v>0</v>
      </c>
      <c r="AQ11" s="130">
        <f>VLOOKUP($AP$9,'Исх дан мат и усл'!$C$6:$E$3400,2,FALSE)*AP11</f>
        <v>0</v>
      </c>
      <c r="AR11" s="130">
        <f>Бланк!AI6</f>
        <v>0</v>
      </c>
      <c r="AS11" s="130">
        <f>VLOOKUP($AR$9,'Исх дан мат и усл'!$C$6:$E$3400,2,FALSE)*AR11</f>
        <v>0</v>
      </c>
      <c r="AT11" s="130">
        <f>Бланк!V6</f>
        <v>0</v>
      </c>
      <c r="AU11" s="130">
        <f>IF(T11&lt;0.5,'Исх дан мат и усл'!$D$26*AT11,IF(T11&lt;1,'Исх дан мат и усл'!$D$27*AT11,IF(T11&lt;2,'Исх дан мат и усл'!$D$28*AT11,'Исх дан мат и усл'!$D$29*AT11)))</f>
        <v>0</v>
      </c>
      <c r="BB11" s="19" t="s">
        <v>59</v>
      </c>
      <c r="BC11" s="87" t="s">
        <v>59</v>
      </c>
      <c r="BD11" s="87" t="s">
        <v>59</v>
      </c>
    </row>
    <row r="12" spans="1:56" s="19" customFormat="1" ht="32.25" customHeight="1" x14ac:dyDescent="0.25">
      <c r="A12" s="74" t="str">
        <f t="shared" si="1"/>
        <v/>
      </c>
      <c r="B12" s="31">
        <v>3</v>
      </c>
      <c r="C12" s="59"/>
      <c r="D12" s="57"/>
      <c r="E12" s="57"/>
      <c r="F12" s="57"/>
      <c r="G12" s="57"/>
      <c r="H12" s="15">
        <f t="shared" si="0"/>
        <v>0</v>
      </c>
      <c r="I12" s="60">
        <f t="shared" si="2"/>
        <v>0</v>
      </c>
      <c r="J12" s="94">
        <f>IF(OR(AND(C12="5-ти элем",G12="SO60 Engadina")),"Ошибка",N12)</f>
        <v>0</v>
      </c>
      <c r="K12" s="312" t="s">
        <v>129</v>
      </c>
      <c r="L12" s="89" t="s">
        <v>61</v>
      </c>
      <c r="M12" s="32"/>
      <c r="N12" s="130">
        <f t="shared" si="4"/>
        <v>0</v>
      </c>
      <c r="O12" s="130">
        <f t="shared" si="5"/>
        <v>0</v>
      </c>
      <c r="P12" s="130">
        <f t="shared" si="6"/>
        <v>0</v>
      </c>
      <c r="Q12" s="125"/>
      <c r="R12" s="125" t="s">
        <v>13</v>
      </c>
      <c r="S12" s="125">
        <v>2</v>
      </c>
      <c r="T12" s="130">
        <f t="shared" si="7"/>
        <v>0</v>
      </c>
      <c r="U12" s="129">
        <f t="shared" si="8"/>
        <v>0</v>
      </c>
      <c r="V12" s="130">
        <f>(Бланк!AP9+Бланк!AP10)*W6</f>
        <v>0</v>
      </c>
      <c r="W12" s="130">
        <f>VLOOKUP(U12,'Исх дан мат и усл'!$C$6:$I$3600,2,FALSE)*V12*$W$7</f>
        <v>0</v>
      </c>
      <c r="X12" s="130">
        <f>IF(Бланк!AD11="Стекло",0,(Бланк!AA11*Бланк!AB11)*Бланк!AC11*Y6)/1000000</f>
        <v>0</v>
      </c>
      <c r="Y12" s="130">
        <f>VLOOKUP(U12,'Исх дан мат и усл'!$C$6:$I$3600,4,FALSE)*X12*$Y$7</f>
        <v>0</v>
      </c>
      <c r="Z12" s="130">
        <f>IF(Бланк!AD11="Стекло",Бланк!AA11*Бланк!AB11*Бланк!AC11/1000000,0)</f>
        <v>0</v>
      </c>
      <c r="AA12" s="130">
        <f t="shared" si="9"/>
        <v>0</v>
      </c>
      <c r="AB12" s="130">
        <f t="shared" si="10"/>
        <v>0</v>
      </c>
      <c r="AC12" s="130">
        <f>VLOOKUP(U12,'Исх дан мат и усл'!$C$6:$I$3600,6,FALSE)*AB12*$AC$7</f>
        <v>0</v>
      </c>
      <c r="AD12" s="130">
        <f>Бланк!AI9/2</f>
        <v>0</v>
      </c>
      <c r="AE12" s="130">
        <f>VLOOKUP($AD$9,'Исх дан мат и усл'!$C$6:$E$3800,2,FALSE)*AD12</f>
        <v>0</v>
      </c>
      <c r="AF12" s="130">
        <f t="shared" si="11"/>
        <v>0</v>
      </c>
      <c r="AG12" s="130">
        <f>VLOOKUP($AF$9,'Исх дан мат и усл'!$C$6:$E$3800,2,FALSE)*$AG$6*AF12</f>
        <v>0</v>
      </c>
      <c r="AH12" s="130">
        <f t="shared" si="12"/>
        <v>0</v>
      </c>
      <c r="AI12" s="130">
        <f>VLOOKUP($AH$9,'Исх дан мат и усл'!$C$6:$E$3800,2,FALSE)*$AI$6*AH12</f>
        <v>0</v>
      </c>
      <c r="AJ12" s="130">
        <f t="shared" si="13"/>
        <v>0</v>
      </c>
      <c r="AK12" s="130">
        <f>VLOOKUP($AJ$9,'Исх дан мат и усл'!$C$6:$E$3400,2,FALSE)*AJ12</f>
        <v>0</v>
      </c>
      <c r="AL12" s="130">
        <f>SUM(Бланк!AG9:AG11)</f>
        <v>0</v>
      </c>
      <c r="AM12" s="130">
        <f>VLOOKUP($AL$9,'Исх дан мат и усл'!$C$6:$E$3400,2,FALSE)*AL12</f>
        <v>0</v>
      </c>
      <c r="AN12" s="130">
        <f>Бланк!AE9+Бланк!AF9+Бланк!AF10</f>
        <v>0</v>
      </c>
      <c r="AO12" s="130">
        <f>VLOOKUP($AN$9,'Исх дан мат и усл'!$C$6:$E$3400,2,FALSE)*AN12</f>
        <v>0</v>
      </c>
      <c r="AP12" s="130">
        <f>Бланк!AH9+Бланк!AH10</f>
        <v>0</v>
      </c>
      <c r="AQ12" s="130">
        <f>VLOOKUP($AP$9,'Исх дан мат и усл'!$C$6:$E$3400,2,FALSE)*AP12</f>
        <v>0</v>
      </c>
      <c r="AR12" s="130">
        <f>Бланк!AI9</f>
        <v>0</v>
      </c>
      <c r="AS12" s="130">
        <f>VLOOKUP($AR$9,'Исх дан мат и усл'!$C$6:$E$3400,2,FALSE)*AR12</f>
        <v>0</v>
      </c>
      <c r="AT12" s="130">
        <f>Бланк!V9</f>
        <v>0</v>
      </c>
      <c r="AU12" s="130">
        <f>IF(T12&lt;0.5,'Исх дан мат и усл'!$D$26*AT12,IF(T12&lt;1,'Исх дан мат и усл'!$D$27*AT12,IF(T12&lt;2,'Исх дан мат и усл'!$D$28*AT12,'Исх дан мат и усл'!$D$29*AT12)))</f>
        <v>0</v>
      </c>
      <c r="BB12" s="19" t="s">
        <v>61</v>
      </c>
      <c r="BC12" s="87" t="s">
        <v>61</v>
      </c>
      <c r="BD12" s="87" t="s">
        <v>61</v>
      </c>
    </row>
    <row r="13" spans="1:56" s="19" customFormat="1" ht="32.25" customHeight="1" x14ac:dyDescent="0.25">
      <c r="A13" s="74" t="str">
        <f t="shared" si="1"/>
        <v/>
      </c>
      <c r="B13" s="31">
        <v>4</v>
      </c>
      <c r="C13" s="59"/>
      <c r="D13" s="57"/>
      <c r="E13" s="57"/>
      <c r="F13" s="57"/>
      <c r="G13" s="57"/>
      <c r="H13" s="15">
        <f t="shared" ref="H13:H14" si="14">((D13*E13)*F13)/1000000</f>
        <v>0</v>
      </c>
      <c r="I13" s="60">
        <f t="shared" si="2"/>
        <v>0</v>
      </c>
      <c r="J13" s="94">
        <f t="shared" si="3"/>
        <v>0</v>
      </c>
      <c r="K13" s="313"/>
      <c r="L13" s="89" t="s">
        <v>64</v>
      </c>
      <c r="M13" s="32"/>
      <c r="N13" s="130">
        <f t="shared" si="4"/>
        <v>0</v>
      </c>
      <c r="O13" s="130">
        <f t="shared" si="5"/>
        <v>0</v>
      </c>
      <c r="P13" s="130">
        <f t="shared" si="6"/>
        <v>0</v>
      </c>
      <c r="Q13" s="125"/>
      <c r="R13" s="125" t="s">
        <v>12</v>
      </c>
      <c r="S13" s="125">
        <v>3</v>
      </c>
      <c r="T13" s="130">
        <f t="shared" si="7"/>
        <v>0</v>
      </c>
      <c r="U13" s="129">
        <f t="shared" si="8"/>
        <v>0</v>
      </c>
      <c r="V13" s="130">
        <f>(Бланк!AP12+Бланк!AP13)*W6</f>
        <v>0</v>
      </c>
      <c r="W13" s="130">
        <f>VLOOKUP(U13,'Исх дан мат и усл'!$C$6:$I$3600,2,FALSE)*V13*$W$7</f>
        <v>0</v>
      </c>
      <c r="X13" s="130">
        <f>IF(Бланк!AD14="Стекло",0,(Бланк!AA14*Бланк!AB14)*Бланк!AC14*Y6)/1000000</f>
        <v>0</v>
      </c>
      <c r="Y13" s="130">
        <f>VLOOKUP(U13,'Исх дан мат и усл'!$C$6:$I$3600,4,FALSE)*X13*$Y$7</f>
        <v>0</v>
      </c>
      <c r="Z13" s="130">
        <f>IF(Бланк!AD14="Стекло",Бланк!AA14*Бланк!AB14*Бланк!AC14/1000000,0)</f>
        <v>0</v>
      </c>
      <c r="AA13" s="130">
        <f t="shared" si="9"/>
        <v>0</v>
      </c>
      <c r="AB13" s="130">
        <f t="shared" si="10"/>
        <v>0</v>
      </c>
      <c r="AC13" s="130">
        <f>VLOOKUP(U13,'Исх дан мат и усл'!$C$6:$I$3600,6,FALSE)*AB13*$AC$7</f>
        <v>0</v>
      </c>
      <c r="AD13" s="130">
        <f>Бланк!AI12/2</f>
        <v>0</v>
      </c>
      <c r="AE13" s="130">
        <f>VLOOKUP($AD$9,'Исх дан мат и усл'!$C$6:$E$3800,2,FALSE)*AD13</f>
        <v>0</v>
      </c>
      <c r="AF13" s="130">
        <f t="shared" si="11"/>
        <v>0</v>
      </c>
      <c r="AG13" s="130">
        <f>VLOOKUP($AF$9,'Исх дан мат и усл'!$C$6:$E$3800,2,FALSE)*$AG$6*AF13</f>
        <v>0</v>
      </c>
      <c r="AH13" s="130">
        <f t="shared" si="12"/>
        <v>0</v>
      </c>
      <c r="AI13" s="130">
        <f>VLOOKUP($AH$9,'Исх дан мат и усл'!$C$6:$E$3800,2,FALSE)*$AI$6*AH13</f>
        <v>0</v>
      </c>
      <c r="AJ13" s="130">
        <f t="shared" si="13"/>
        <v>0</v>
      </c>
      <c r="AK13" s="130">
        <f>VLOOKUP($AJ$9,'Исх дан мат и усл'!$C$6:$E$3400,2,FALSE)*AJ13</f>
        <v>0</v>
      </c>
      <c r="AL13" s="130">
        <f>SUM(Бланк!AG12:AG14)</f>
        <v>0</v>
      </c>
      <c r="AM13" s="130">
        <f>VLOOKUP($AL$9,'Исх дан мат и усл'!$C$6:$E$3400,2,FALSE)*AL13</f>
        <v>0</v>
      </c>
      <c r="AN13" s="130">
        <f>Бланк!AE12+Бланк!AF12+Бланк!AF13</f>
        <v>0</v>
      </c>
      <c r="AO13" s="130">
        <f>VLOOKUP($AN$9,'Исх дан мат и усл'!$C$6:$E$3400,2,FALSE)*AN13</f>
        <v>0</v>
      </c>
      <c r="AP13" s="130">
        <f>Бланк!AH12+Бланк!AH13</f>
        <v>0</v>
      </c>
      <c r="AQ13" s="130">
        <f>VLOOKUP($AP$9,'Исх дан мат и усл'!$C$6:$E$3400,2,FALSE)*AP13</f>
        <v>0</v>
      </c>
      <c r="AR13" s="130">
        <f>Бланк!AI12</f>
        <v>0</v>
      </c>
      <c r="AS13" s="130">
        <f>VLOOKUP($AR$9,'Исх дан мат и усл'!$C$6:$E$3400,2,FALSE)*AR13</f>
        <v>0</v>
      </c>
      <c r="AT13" s="130">
        <f>Бланк!V12</f>
        <v>0</v>
      </c>
      <c r="AU13" s="130">
        <f>IF(T13&lt;0.5,'Исх дан мат и усл'!$D$26*AT13,IF(T13&lt;1,'Исх дан мат и усл'!$D$27*AT13,IF(T13&lt;2,'Исх дан мат и усл'!$D$28*AT13,'Исх дан мат и усл'!$D$29*AT13)))</f>
        <v>0</v>
      </c>
      <c r="AY13" s="87"/>
      <c r="BB13" s="19" t="s">
        <v>64</v>
      </c>
      <c r="BC13" s="87" t="s">
        <v>64</v>
      </c>
      <c r="BD13" s="87" t="s">
        <v>64</v>
      </c>
    </row>
    <row r="14" spans="1:56" s="19" customFormat="1" ht="32.25" customHeight="1" x14ac:dyDescent="0.25">
      <c r="A14" s="74" t="str">
        <f t="shared" si="1"/>
        <v/>
      </c>
      <c r="B14" s="31">
        <v>5</v>
      </c>
      <c r="C14" s="59"/>
      <c r="D14" s="57"/>
      <c r="E14" s="57"/>
      <c r="F14" s="57"/>
      <c r="G14" s="57"/>
      <c r="H14" s="15">
        <f t="shared" si="14"/>
        <v>0</v>
      </c>
      <c r="I14" s="60">
        <f t="shared" si="2"/>
        <v>0</v>
      </c>
      <c r="J14" s="94">
        <f t="shared" si="3"/>
        <v>0</v>
      </c>
      <c r="K14" s="313"/>
      <c r="L14" s="89" t="s">
        <v>62</v>
      </c>
      <c r="M14" s="32"/>
      <c r="N14" s="130">
        <f t="shared" si="4"/>
        <v>0</v>
      </c>
      <c r="O14" s="130">
        <f t="shared" si="5"/>
        <v>0</v>
      </c>
      <c r="P14" s="130">
        <f t="shared" si="6"/>
        <v>0</v>
      </c>
      <c r="Q14" s="125"/>
      <c r="R14" s="125" t="s">
        <v>81</v>
      </c>
      <c r="S14" s="125">
        <v>4</v>
      </c>
      <c r="T14" s="130">
        <f t="shared" si="7"/>
        <v>0</v>
      </c>
      <c r="U14" s="129">
        <f t="shared" si="8"/>
        <v>0</v>
      </c>
      <c r="V14" s="130">
        <f>(Бланк!AP15+Бланк!AP16)*W6</f>
        <v>0</v>
      </c>
      <c r="W14" s="130">
        <f>VLOOKUP(U14,'Исх дан мат и усл'!$C$6:$I$3600,2,FALSE)*V14*$W$7</f>
        <v>0</v>
      </c>
      <c r="X14" s="130">
        <f>IF(Бланк!AD17="Стекло",0,(Бланк!AA17*Бланк!AB17)*Бланк!AC17*Y6)/1000000</f>
        <v>0</v>
      </c>
      <c r="Y14" s="130">
        <f>VLOOKUP(U14,'Исх дан мат и усл'!$C$6:$I$3600,4,FALSE)*X14*$Y$7</f>
        <v>0</v>
      </c>
      <c r="Z14" s="130">
        <f>IF(Бланк!AD17="Стекло",Бланк!AA17*Бланк!AB17*Бланк!AC17/1000000,0)</f>
        <v>0</v>
      </c>
      <c r="AA14" s="130">
        <f t="shared" si="9"/>
        <v>0</v>
      </c>
      <c r="AB14" s="130">
        <f t="shared" si="10"/>
        <v>0</v>
      </c>
      <c r="AC14" s="130">
        <f>VLOOKUP(U14,'Исх дан мат и усл'!$C$6:$I$3600,6,FALSE)*AB14*$AC$7</f>
        <v>0</v>
      </c>
      <c r="AD14" s="130">
        <f>Бланк!AI15/2</f>
        <v>0</v>
      </c>
      <c r="AE14" s="130">
        <f>VLOOKUP($AD$9,'Исх дан мат и усл'!$C$6:$E$3800,2,FALSE)*AD14</f>
        <v>0</v>
      </c>
      <c r="AF14" s="130">
        <f t="shared" si="11"/>
        <v>0</v>
      </c>
      <c r="AG14" s="130">
        <f>VLOOKUP($AF$9,'Исх дан мат и усл'!$C$6:$E$3800,2,FALSE)*$AG$6*AF14</f>
        <v>0</v>
      </c>
      <c r="AH14" s="130">
        <f t="shared" si="12"/>
        <v>0</v>
      </c>
      <c r="AI14" s="130">
        <f>VLOOKUP($AH$9,'Исх дан мат и усл'!$C$6:$E$3800,2,FALSE)*$AI$6*AH14</f>
        <v>0</v>
      </c>
      <c r="AJ14" s="130">
        <f t="shared" si="13"/>
        <v>0</v>
      </c>
      <c r="AK14" s="130">
        <f>VLOOKUP($AJ$9,'Исх дан мат и усл'!$C$6:$E$3400,2,FALSE)*AJ14</f>
        <v>0</v>
      </c>
      <c r="AL14" s="130">
        <f>SUM(Бланк!AG15:AG17)</f>
        <v>0</v>
      </c>
      <c r="AM14" s="130">
        <f>VLOOKUP($AL$9,'Исх дан мат и усл'!$C$6:$E$3400,2,FALSE)*AL14</f>
        <v>0</v>
      </c>
      <c r="AN14" s="130">
        <f>Бланк!AE15+Бланк!AF15+Бланк!AF16</f>
        <v>0</v>
      </c>
      <c r="AO14" s="130">
        <f>VLOOKUP($AN$9,'Исх дан мат и усл'!$C$6:$E$3400,2,FALSE)*AN14</f>
        <v>0</v>
      </c>
      <c r="AP14" s="130">
        <f>Бланк!AH15+Бланк!AH16</f>
        <v>0</v>
      </c>
      <c r="AQ14" s="130">
        <f>VLOOKUP($AP$9,'Исх дан мат и усл'!$C$6:$E$3400,2,FALSE)*AP14</f>
        <v>0</v>
      </c>
      <c r="AR14" s="130">
        <f>Бланк!AI15</f>
        <v>0</v>
      </c>
      <c r="AS14" s="130">
        <f>VLOOKUP($AR$9,'Исх дан мат и усл'!$C$6:$E$3400,2,FALSE)*AR14</f>
        <v>0</v>
      </c>
      <c r="AT14" s="130">
        <f>Бланк!V15</f>
        <v>0</v>
      </c>
      <c r="AU14" s="130">
        <f>IF(T14&lt;0.5,'Исх дан мат и усл'!$D$26*AT14,IF(T14&lt;1,'Исх дан мат и усл'!$D$27*AT14,IF(T14&lt;2,'Исх дан мат и усл'!$D$28*AT14,'Исх дан мат и усл'!$D$29*AT14)))</f>
        <v>0</v>
      </c>
      <c r="BB14" s="19" t="s">
        <v>62</v>
      </c>
      <c r="BC14" s="87" t="s">
        <v>62</v>
      </c>
      <c r="BD14" s="87" t="s">
        <v>62</v>
      </c>
    </row>
    <row r="15" spans="1:56" s="19" customFormat="1" ht="32.25" customHeight="1" thickBot="1" x14ac:dyDescent="0.3">
      <c r="A15" s="74" t="str">
        <f t="shared" si="1"/>
        <v/>
      </c>
      <c r="B15" s="31">
        <v>6</v>
      </c>
      <c r="C15" s="59"/>
      <c r="D15" s="57"/>
      <c r="E15" s="57"/>
      <c r="F15" s="57"/>
      <c r="G15" s="57"/>
      <c r="H15" s="15">
        <f t="shared" si="0"/>
        <v>0</v>
      </c>
      <c r="I15" s="60">
        <f t="shared" si="2"/>
        <v>0</v>
      </c>
      <c r="J15" s="94">
        <f t="shared" si="3"/>
        <v>0</v>
      </c>
      <c r="K15" s="314"/>
      <c r="L15" s="89" t="s">
        <v>63</v>
      </c>
      <c r="M15" s="32"/>
      <c r="N15" s="130">
        <f t="shared" si="4"/>
        <v>0</v>
      </c>
      <c r="O15" s="130">
        <f t="shared" si="5"/>
        <v>0</v>
      </c>
      <c r="P15" s="130">
        <f t="shared" si="6"/>
        <v>0</v>
      </c>
      <c r="Q15" s="125"/>
      <c r="R15" s="125"/>
      <c r="S15" s="125">
        <v>5</v>
      </c>
      <c r="T15" s="130">
        <f t="shared" si="7"/>
        <v>0</v>
      </c>
      <c r="U15" s="129">
        <f t="shared" si="8"/>
        <v>0</v>
      </c>
      <c r="V15" s="130">
        <f>(Бланк!AP18+Бланк!AP19)*W6</f>
        <v>0</v>
      </c>
      <c r="W15" s="130">
        <f>VLOOKUP(U15,'Исх дан мат и усл'!$C$6:$I$3600,2,FALSE)*V15*$W$7</f>
        <v>0</v>
      </c>
      <c r="X15" s="130">
        <f>IF(Бланк!AD20="Стекло",0,(Бланк!AA20*Бланк!AB20)*Бланк!AC20*Y6)/1000000</f>
        <v>0</v>
      </c>
      <c r="Y15" s="130">
        <f>VLOOKUP(U15,'Исх дан мат и усл'!$C$6:$I$3600,4,FALSE)*X15*$Y$7</f>
        <v>0</v>
      </c>
      <c r="Z15" s="130">
        <f>IF(Бланк!AD20="Стекло",Бланк!AA20*Бланк!AB20*Бланк!AC20/1000000,0)</f>
        <v>0</v>
      </c>
      <c r="AA15" s="130">
        <f t="shared" si="9"/>
        <v>0</v>
      </c>
      <c r="AB15" s="130">
        <f t="shared" si="10"/>
        <v>0</v>
      </c>
      <c r="AC15" s="130">
        <f>VLOOKUP(U15,'Исх дан мат и усл'!$C$6:$I$3600,6,FALSE)*AB15*$AC$7</f>
        <v>0</v>
      </c>
      <c r="AD15" s="130">
        <f>Бланк!AI18/2</f>
        <v>0</v>
      </c>
      <c r="AE15" s="130">
        <f>VLOOKUP($AD$9,'Исх дан мат и усл'!$C$6:$E$3800,2,FALSE)*AD15</f>
        <v>0</v>
      </c>
      <c r="AF15" s="130">
        <f t="shared" si="11"/>
        <v>0</v>
      </c>
      <c r="AG15" s="130">
        <f>VLOOKUP($AF$9,'Исх дан мат и усл'!$C$6:$E$3800,2,FALSE)*$AG$6*AF15</f>
        <v>0</v>
      </c>
      <c r="AH15" s="130">
        <f t="shared" si="12"/>
        <v>0</v>
      </c>
      <c r="AI15" s="130">
        <f>VLOOKUP($AH$9,'Исх дан мат и усл'!$C$6:$E$3800,2,FALSE)*$AI$6*AH15</f>
        <v>0</v>
      </c>
      <c r="AJ15" s="130">
        <f t="shared" si="13"/>
        <v>0</v>
      </c>
      <c r="AK15" s="130">
        <f>VLOOKUP($AJ$9,'Исх дан мат и усл'!$C$6:$E$3400,2,FALSE)*AJ15</f>
        <v>0</v>
      </c>
      <c r="AL15" s="130">
        <f>SUM(Бланк!AG18:AG20)</f>
        <v>0</v>
      </c>
      <c r="AM15" s="130">
        <f>VLOOKUP($AL$9,'Исх дан мат и усл'!$C$6:$E$3400,2,FALSE)*AL15</f>
        <v>0</v>
      </c>
      <c r="AN15" s="130">
        <f>Бланк!AE18+Бланк!AF18+Бланк!AF19</f>
        <v>0</v>
      </c>
      <c r="AO15" s="130">
        <f>VLOOKUP($AN$9,'Исх дан мат и усл'!$C$6:$E$3400,2,FALSE)*AN15</f>
        <v>0</v>
      </c>
      <c r="AP15" s="130">
        <f>Бланк!AH18+Бланк!AH19</f>
        <v>0</v>
      </c>
      <c r="AQ15" s="130">
        <f>VLOOKUP($AP$9,'Исх дан мат и усл'!$C$6:$E$3400,2,FALSE)*AP15</f>
        <v>0</v>
      </c>
      <c r="AR15" s="130">
        <f>Бланк!AI18</f>
        <v>0</v>
      </c>
      <c r="AS15" s="130">
        <f>VLOOKUP($AR$9,'Исх дан мат и усл'!$C$6:$E$3400,2,FALSE)*AR15</f>
        <v>0</v>
      </c>
      <c r="AT15" s="130">
        <f>Бланк!V18</f>
        <v>0</v>
      </c>
      <c r="AU15" s="130">
        <f>IF(T15&lt;0.5,'Исх дан мат и усл'!$D$26*AT15,IF(T15&lt;1,'Исх дан мат и усл'!$D$27*AT15,IF(T15&lt;2,'Исх дан мат и усл'!$D$28*AT15,'Исх дан мат и усл'!$D$29*AT15)))</f>
        <v>0</v>
      </c>
      <c r="BB15" s="19" t="s">
        <v>63</v>
      </c>
      <c r="BC15" s="87" t="s">
        <v>63</v>
      </c>
      <c r="BD15" s="87" t="s">
        <v>63</v>
      </c>
    </row>
    <row r="16" spans="1:56" s="19" customFormat="1" ht="32.25" customHeight="1" x14ac:dyDescent="0.25">
      <c r="A16" s="74" t="str">
        <f t="shared" si="1"/>
        <v/>
      </c>
      <c r="B16" s="31">
        <v>7</v>
      </c>
      <c r="C16" s="59"/>
      <c r="D16" s="57"/>
      <c r="E16" s="57"/>
      <c r="F16" s="57"/>
      <c r="G16" s="57"/>
      <c r="H16" s="15">
        <f t="shared" si="0"/>
        <v>0</v>
      </c>
      <c r="I16" s="60">
        <f t="shared" si="2"/>
        <v>0</v>
      </c>
      <c r="J16" s="94">
        <f t="shared" si="3"/>
        <v>0</v>
      </c>
      <c r="K16" s="315" t="s">
        <v>130</v>
      </c>
      <c r="L16" s="90" t="s">
        <v>252</v>
      </c>
      <c r="M16" s="32"/>
      <c r="N16" s="130">
        <f t="shared" si="4"/>
        <v>0</v>
      </c>
      <c r="O16" s="130">
        <f t="shared" si="5"/>
        <v>0</v>
      </c>
      <c r="P16" s="130">
        <f t="shared" si="6"/>
        <v>0</v>
      </c>
      <c r="Q16" s="125"/>
      <c r="R16" s="125"/>
      <c r="S16" s="125"/>
      <c r="T16" s="130">
        <f t="shared" si="7"/>
        <v>0</v>
      </c>
      <c r="U16" s="129">
        <f t="shared" si="8"/>
        <v>0</v>
      </c>
      <c r="V16" s="130">
        <f>(Бланк!AP21+Бланк!AP22)*W6</f>
        <v>0</v>
      </c>
      <c r="W16" s="130">
        <f>VLOOKUP(U16,'Исх дан мат и усл'!$C$6:$I$3600,2,FALSE)*V16*$W$7</f>
        <v>0</v>
      </c>
      <c r="X16" s="130">
        <f>IF(Бланк!AD23="Стекло",0,(Бланк!AA23*Бланк!AB23)*Бланк!AC23*Y6)/1000000</f>
        <v>0</v>
      </c>
      <c r="Y16" s="130">
        <f>VLOOKUP(U16,'Исх дан мат и усл'!$C$6:$I$3600,4,FALSE)*X16*$Y$7</f>
        <v>0</v>
      </c>
      <c r="Z16" s="130">
        <f>IF(Бланк!AD23="Стекло",Бланк!AA23*Бланк!AB23*Бланк!AC23/1000000,0)</f>
        <v>0</v>
      </c>
      <c r="AA16" s="130">
        <f t="shared" si="9"/>
        <v>0</v>
      </c>
      <c r="AB16" s="130">
        <f t="shared" si="10"/>
        <v>0</v>
      </c>
      <c r="AC16" s="130">
        <f>VLOOKUP(U16,'Исх дан мат и усл'!$C$6:$I$3600,6,FALSE)*AB16*$AC$7</f>
        <v>0</v>
      </c>
      <c r="AD16" s="130">
        <f>Бланк!AI21/2</f>
        <v>0</v>
      </c>
      <c r="AE16" s="130">
        <f>VLOOKUP($AD$9,'Исх дан мат и усл'!$C$6:$E$3800,2,FALSE)*AD16</f>
        <v>0</v>
      </c>
      <c r="AF16" s="130">
        <f t="shared" si="11"/>
        <v>0</v>
      </c>
      <c r="AG16" s="130">
        <f>VLOOKUP($AF$9,'Исх дан мат и усл'!$C$6:$E$3800,2,FALSE)*$AG$6*AF16</f>
        <v>0</v>
      </c>
      <c r="AH16" s="130">
        <f t="shared" si="12"/>
        <v>0</v>
      </c>
      <c r="AI16" s="130">
        <f>VLOOKUP($AH$9,'Исх дан мат и усл'!$C$6:$E$3800,2,FALSE)*$AI$6*AH16</f>
        <v>0</v>
      </c>
      <c r="AJ16" s="130">
        <f t="shared" si="13"/>
        <v>0</v>
      </c>
      <c r="AK16" s="130">
        <f>VLOOKUP($AJ$9,'Исх дан мат и усл'!$C$6:$E$3400,2,FALSE)*AJ16</f>
        <v>0</v>
      </c>
      <c r="AL16" s="130">
        <f>SUM(Бланк!AG21:AG23)</f>
        <v>0</v>
      </c>
      <c r="AM16" s="130">
        <f>VLOOKUP($AL$9,'Исх дан мат и усл'!$C$6:$E$3400,2,FALSE)*AL16</f>
        <v>0</v>
      </c>
      <c r="AN16" s="130">
        <f>Бланк!AE21+Бланк!AF21+Бланк!AF22</f>
        <v>0</v>
      </c>
      <c r="AO16" s="130">
        <f>VLOOKUP($AN$9,'Исх дан мат и усл'!$C$6:$E$3400,2,FALSE)*AN16</f>
        <v>0</v>
      </c>
      <c r="AP16" s="130">
        <f>Бланк!AH21+Бланк!AH22</f>
        <v>0</v>
      </c>
      <c r="AQ16" s="130">
        <f>VLOOKUP($AP$9,'Исх дан мат и усл'!$C$6:$E$3400,2,FALSE)*AP16</f>
        <v>0</v>
      </c>
      <c r="AR16" s="130">
        <f>Бланк!AI21</f>
        <v>0</v>
      </c>
      <c r="AS16" s="130">
        <f>VLOOKUP($AR$9,'Исх дан мат и усл'!$C$6:$E$3400,2,FALSE)*AR16</f>
        <v>0</v>
      </c>
      <c r="AT16" s="130">
        <f>Бланк!V21</f>
        <v>0</v>
      </c>
      <c r="AU16" s="130">
        <f>IF(T16&lt;0.5,'Исх дан мат и усл'!$D$26*AT16,IF(T16&lt;1,'Исх дан мат и усл'!$D$27*AT16,IF(T16&lt;2,'Исх дан мат и усл'!$D$28*AT16,'Исх дан мат и усл'!$D$29*AT16)))</f>
        <v>0</v>
      </c>
      <c r="BB16" s="19" t="s">
        <v>252</v>
      </c>
      <c r="BC16" s="87" t="s">
        <v>252</v>
      </c>
      <c r="BD16" s="87" t="s">
        <v>68</v>
      </c>
    </row>
    <row r="17" spans="1:56" s="19" customFormat="1" ht="32.25" customHeight="1" x14ac:dyDescent="0.25">
      <c r="A17" s="74" t="str">
        <f t="shared" si="1"/>
        <v/>
      </c>
      <c r="B17" s="31">
        <v>8</v>
      </c>
      <c r="C17" s="59"/>
      <c r="D17" s="57"/>
      <c r="E17" s="57"/>
      <c r="F17" s="57"/>
      <c r="G17" s="57"/>
      <c r="H17" s="15">
        <f t="shared" si="0"/>
        <v>0</v>
      </c>
      <c r="I17" s="60">
        <f t="shared" si="2"/>
        <v>0</v>
      </c>
      <c r="J17" s="94">
        <f t="shared" si="3"/>
        <v>0</v>
      </c>
      <c r="K17" s="316"/>
      <c r="L17" s="90" t="s">
        <v>68</v>
      </c>
      <c r="M17" s="32"/>
      <c r="N17" s="130">
        <f t="shared" si="4"/>
        <v>0</v>
      </c>
      <c r="O17" s="130">
        <f t="shared" si="5"/>
        <v>0</v>
      </c>
      <c r="P17" s="130">
        <f t="shared" si="6"/>
        <v>0</v>
      </c>
      <c r="Q17" s="125"/>
      <c r="R17" s="125"/>
      <c r="S17" s="125"/>
      <c r="T17" s="130">
        <f t="shared" si="7"/>
        <v>0</v>
      </c>
      <c r="U17" s="129">
        <f t="shared" si="8"/>
        <v>0</v>
      </c>
      <c r="V17" s="130">
        <f>(Бланк!AP24+Бланк!AP25)*W6</f>
        <v>0</v>
      </c>
      <c r="W17" s="130">
        <f>VLOOKUP(U17,'Исх дан мат и усл'!$C$6:$I$3600,2,FALSE)*V17*$W$7</f>
        <v>0</v>
      </c>
      <c r="X17" s="130">
        <f>IF(Бланк!AD26="Стекло",0,(Бланк!AA26*Бланк!AB26)*Бланк!AC26*Y6)/1000000</f>
        <v>0</v>
      </c>
      <c r="Y17" s="130">
        <f>VLOOKUP(U17,'Исх дан мат и усл'!$C$6:$I$3600,4,FALSE)*X17*$Y$7</f>
        <v>0</v>
      </c>
      <c r="Z17" s="130">
        <f>IF(Бланк!AD26="Стекло",Бланк!AA26*Бланк!AB26*Бланк!AC26/1000000,0)</f>
        <v>0</v>
      </c>
      <c r="AA17" s="130">
        <f t="shared" si="9"/>
        <v>0</v>
      </c>
      <c r="AB17" s="130">
        <f t="shared" si="10"/>
        <v>0</v>
      </c>
      <c r="AC17" s="130">
        <f>VLOOKUP(U17,'Исх дан мат и усл'!$C$6:$I$3600,6,FALSE)*AB17*$AC$7</f>
        <v>0</v>
      </c>
      <c r="AD17" s="130">
        <f>Бланк!AI24/2</f>
        <v>0</v>
      </c>
      <c r="AE17" s="130">
        <f>VLOOKUP($AD$9,'Исх дан мат и усл'!$C$6:$E$3800,2,FALSE)*AD17</f>
        <v>0</v>
      </c>
      <c r="AF17" s="130">
        <f t="shared" si="11"/>
        <v>0</v>
      </c>
      <c r="AG17" s="130">
        <f>VLOOKUP($AF$9,'Исх дан мат и усл'!$C$6:$E$3800,2,FALSE)*$AG$6*AF17</f>
        <v>0</v>
      </c>
      <c r="AH17" s="130">
        <f t="shared" si="12"/>
        <v>0</v>
      </c>
      <c r="AI17" s="130">
        <f>VLOOKUP($AH$9,'Исх дан мат и усл'!$C$6:$E$3800,2,FALSE)*$AI$6*AH17</f>
        <v>0</v>
      </c>
      <c r="AJ17" s="130">
        <f t="shared" si="13"/>
        <v>0</v>
      </c>
      <c r="AK17" s="130">
        <f>VLOOKUP($AJ$9,'Исх дан мат и усл'!$C$6:$E$3400,2,FALSE)*AJ17</f>
        <v>0</v>
      </c>
      <c r="AL17" s="130">
        <f>SUM(Бланк!AG24:AG26)</f>
        <v>0</v>
      </c>
      <c r="AM17" s="130">
        <f>VLOOKUP($AL$9,'Исх дан мат и усл'!$C$6:$E$3400,2,FALSE)*AL17</f>
        <v>0</v>
      </c>
      <c r="AN17" s="130">
        <f>Бланк!AE24+Бланк!AF24+Бланк!AF25</f>
        <v>0</v>
      </c>
      <c r="AO17" s="130">
        <f>VLOOKUP($AN$9,'Исх дан мат и усл'!$C$6:$E$3400,2,FALSE)*AN17</f>
        <v>0</v>
      </c>
      <c r="AP17" s="130">
        <f>Бланк!AH24+Бланк!AH25</f>
        <v>0</v>
      </c>
      <c r="AQ17" s="130">
        <f>VLOOKUP($AP$9,'Исх дан мат и усл'!$C$6:$E$3400,2,FALSE)*AP17</f>
        <v>0</v>
      </c>
      <c r="AR17" s="130">
        <f>Бланк!AI24</f>
        <v>0</v>
      </c>
      <c r="AS17" s="130">
        <f>VLOOKUP($AR$9,'Исх дан мат и усл'!$C$6:$E$3400,2,FALSE)*AR17</f>
        <v>0</v>
      </c>
      <c r="AT17" s="130">
        <f>Бланк!V24</f>
        <v>0</v>
      </c>
      <c r="AU17" s="130">
        <f>IF(T17&lt;0.5,'Исх дан мат и усл'!$D$26*AT17,IF(T17&lt;1,'Исх дан мат и усл'!$D$27*AT17,IF(T17&lt;2,'Исх дан мат и усл'!$D$28*AT17,'Исх дан мат и усл'!$D$29*AT17)))</f>
        <v>0</v>
      </c>
      <c r="BB17" s="19" t="s">
        <v>68</v>
      </c>
      <c r="BC17" s="87" t="s">
        <v>68</v>
      </c>
      <c r="BD17" s="87" t="s">
        <v>69</v>
      </c>
    </row>
    <row r="18" spans="1:56" s="19" customFormat="1" ht="32.25" customHeight="1" x14ac:dyDescent="0.25">
      <c r="A18" s="74" t="str">
        <f t="shared" si="1"/>
        <v/>
      </c>
      <c r="B18" s="31">
        <v>9</v>
      </c>
      <c r="C18" s="59"/>
      <c r="D18" s="57"/>
      <c r="E18" s="57"/>
      <c r="F18" s="57"/>
      <c r="G18" s="57"/>
      <c r="H18" s="15">
        <f t="shared" si="0"/>
        <v>0</v>
      </c>
      <c r="I18" s="60">
        <f t="shared" si="2"/>
        <v>0</v>
      </c>
      <c r="J18" s="94">
        <f t="shared" si="3"/>
        <v>0</v>
      </c>
      <c r="K18" s="316"/>
      <c r="L18" s="90" t="s">
        <v>69</v>
      </c>
      <c r="M18" s="32"/>
      <c r="N18" s="130">
        <f t="shared" si="4"/>
        <v>0</v>
      </c>
      <c r="O18" s="130">
        <f t="shared" si="5"/>
        <v>0</v>
      </c>
      <c r="P18" s="130">
        <f t="shared" si="6"/>
        <v>0</v>
      </c>
      <c r="Q18" s="125"/>
      <c r="R18" s="125"/>
      <c r="S18" s="125"/>
      <c r="T18" s="130">
        <f t="shared" si="7"/>
        <v>0</v>
      </c>
      <c r="U18" s="129">
        <f t="shared" si="8"/>
        <v>0</v>
      </c>
      <c r="V18" s="130">
        <f>(Бланк!AP27+Бланк!AP28)*W6</f>
        <v>0</v>
      </c>
      <c r="W18" s="130">
        <f>VLOOKUP(U18,'Исх дан мат и усл'!$C$6:$I$3600,2,FALSE)*V18*$W$7</f>
        <v>0</v>
      </c>
      <c r="X18" s="130">
        <f>IF(Бланк!AD29="Стекло",0,(Бланк!AA29*Бланк!AB29)*Бланк!AC29*Y6)/1000000</f>
        <v>0</v>
      </c>
      <c r="Y18" s="130">
        <f>VLOOKUP(U18,'Исх дан мат и усл'!$C$6:$I$3600,4,FALSE)*X18*$Y$7</f>
        <v>0</v>
      </c>
      <c r="Z18" s="130">
        <f>IF(Бланк!AD29="Стекло",Бланк!AA29*Бланк!AB29*Бланк!AC29/1000000,0)</f>
        <v>0</v>
      </c>
      <c r="AA18" s="130">
        <f t="shared" si="9"/>
        <v>0</v>
      </c>
      <c r="AB18" s="130">
        <f t="shared" si="10"/>
        <v>0</v>
      </c>
      <c r="AC18" s="130">
        <f>VLOOKUP(U18,'Исх дан мат и усл'!$C$6:$I$3600,6,FALSE)*AB18*$AC$7</f>
        <v>0</v>
      </c>
      <c r="AD18" s="130">
        <f>Бланк!AI27/2</f>
        <v>0</v>
      </c>
      <c r="AE18" s="130">
        <f>VLOOKUP($AD$9,'Исх дан мат и усл'!$C$6:$E$3800,2,FALSE)*AD18</f>
        <v>0</v>
      </c>
      <c r="AF18" s="130">
        <f t="shared" si="11"/>
        <v>0</v>
      </c>
      <c r="AG18" s="130">
        <f>VLOOKUP($AF$9,'Исх дан мат и усл'!$C$6:$E$3800,2,FALSE)*$AG$6*AF18</f>
        <v>0</v>
      </c>
      <c r="AH18" s="130">
        <f t="shared" si="12"/>
        <v>0</v>
      </c>
      <c r="AI18" s="130">
        <f>VLOOKUP($AH$9,'Исх дан мат и усл'!$C$6:$E$3800,2,FALSE)*$AI$6*AH18</f>
        <v>0</v>
      </c>
      <c r="AJ18" s="130">
        <f t="shared" si="13"/>
        <v>0</v>
      </c>
      <c r="AK18" s="130">
        <f>VLOOKUP($AJ$9,'Исх дан мат и усл'!$C$6:$E$3400,2,FALSE)*AJ18</f>
        <v>0</v>
      </c>
      <c r="AL18" s="130">
        <f>SUM(Бланк!AG27:AG29)</f>
        <v>0</v>
      </c>
      <c r="AM18" s="130">
        <f>VLOOKUP($AL$9,'Исх дан мат и усл'!$C$6:$E$3400,2,FALSE)*AL18</f>
        <v>0</v>
      </c>
      <c r="AN18" s="130">
        <f>Бланк!AE27+Бланк!AF27+Бланк!AF28</f>
        <v>0</v>
      </c>
      <c r="AO18" s="130">
        <f>VLOOKUP($AN$9,'Исх дан мат и усл'!$C$6:$E$3400,2,FALSE)*AN18</f>
        <v>0</v>
      </c>
      <c r="AP18" s="130">
        <f>Бланк!AH27+Бланк!AH28</f>
        <v>0</v>
      </c>
      <c r="AQ18" s="130">
        <f>VLOOKUP($AP$9,'Исх дан мат и усл'!$C$6:$E$3400,2,FALSE)*AP18</f>
        <v>0</v>
      </c>
      <c r="AR18" s="130">
        <f>Бланк!AI27</f>
        <v>0</v>
      </c>
      <c r="AS18" s="130">
        <f>VLOOKUP($AR$9,'Исх дан мат и усл'!$C$6:$E$3400,2,FALSE)*AR18</f>
        <v>0</v>
      </c>
      <c r="AT18" s="130">
        <f>Бланк!V27</f>
        <v>0</v>
      </c>
      <c r="AU18" s="130">
        <f>IF(T18&lt;0.5,'Исх дан мат и усл'!$D$26*AT18,IF(T18&lt;1,'Исх дан мат и усл'!$D$27*AT18,IF(T18&lt;2,'Исх дан мат и усл'!$D$28*AT18,'Исх дан мат и усл'!$D$29*AT18)))</f>
        <v>0</v>
      </c>
      <c r="BB18" s="19" t="s">
        <v>69</v>
      </c>
      <c r="BC18" s="87" t="s">
        <v>69</v>
      </c>
      <c r="BD18" s="87" t="s">
        <v>67</v>
      </c>
    </row>
    <row r="19" spans="1:56" s="19" customFormat="1" ht="32.25" customHeight="1" x14ac:dyDescent="0.25">
      <c r="A19" s="74" t="str">
        <f t="shared" si="1"/>
        <v/>
      </c>
      <c r="B19" s="31">
        <v>10</v>
      </c>
      <c r="C19" s="59"/>
      <c r="D19" s="57"/>
      <c r="E19" s="57"/>
      <c r="F19" s="57"/>
      <c r="G19" s="57"/>
      <c r="H19" s="15">
        <f t="shared" si="0"/>
        <v>0</v>
      </c>
      <c r="I19" s="60">
        <f t="shared" si="2"/>
        <v>0</v>
      </c>
      <c r="J19" s="94">
        <f t="shared" si="3"/>
        <v>0</v>
      </c>
      <c r="K19" s="316"/>
      <c r="L19" s="90" t="s">
        <v>65</v>
      </c>
      <c r="M19" s="32"/>
      <c r="N19" s="130">
        <f t="shared" si="4"/>
        <v>0</v>
      </c>
      <c r="O19" s="130">
        <f t="shared" si="5"/>
        <v>0</v>
      </c>
      <c r="P19" s="130">
        <f t="shared" si="6"/>
        <v>0</v>
      </c>
      <c r="Q19" s="125"/>
      <c r="R19" s="125"/>
      <c r="S19" s="125"/>
      <c r="T19" s="130">
        <f t="shared" si="7"/>
        <v>0</v>
      </c>
      <c r="U19" s="129">
        <f t="shared" si="8"/>
        <v>0</v>
      </c>
      <c r="V19" s="130">
        <f>(Бланк!AP30+Бланк!AP31)*W6</f>
        <v>0</v>
      </c>
      <c r="W19" s="130">
        <f>VLOOKUP(U19,'Исх дан мат и усл'!$C$6:$I$3600,2,FALSE)*V19*$W$7</f>
        <v>0</v>
      </c>
      <c r="X19" s="130">
        <f>IF(Бланк!AD32="Стекло",0,(Бланк!AA32*Бланк!AB32)*Бланк!AC32*Y6)/1000000</f>
        <v>0</v>
      </c>
      <c r="Y19" s="130">
        <f>VLOOKUP(U19,'Исх дан мат и усл'!$C$6:$I$3600,4,FALSE)*X19*$Y$7</f>
        <v>0</v>
      </c>
      <c r="Z19" s="130">
        <f>IF(Бланк!AD32="Стекло",Бланк!AA32*Бланк!AB32*Бланк!AC32/1000000,0)</f>
        <v>0</v>
      </c>
      <c r="AA19" s="130">
        <f t="shared" si="9"/>
        <v>0</v>
      </c>
      <c r="AB19" s="130">
        <f t="shared" si="10"/>
        <v>0</v>
      </c>
      <c r="AC19" s="130">
        <f>VLOOKUP(U19,'Исх дан мат и усл'!$C$6:$I$3600,6,FALSE)*AB19*$AC$7</f>
        <v>0</v>
      </c>
      <c r="AD19" s="130">
        <f>Бланк!AI30/2</f>
        <v>0</v>
      </c>
      <c r="AE19" s="130">
        <f>VLOOKUP($AD$9,'Исх дан мат и усл'!$C$6:$E$3800,2,FALSE)*AD19</f>
        <v>0</v>
      </c>
      <c r="AF19" s="130">
        <f t="shared" si="11"/>
        <v>0</v>
      </c>
      <c r="AG19" s="130">
        <f>VLOOKUP($AF$9,'Исх дан мат и усл'!$C$6:$E$3800,2,FALSE)*$AG$6*AF19</f>
        <v>0</v>
      </c>
      <c r="AH19" s="130">
        <f t="shared" si="12"/>
        <v>0</v>
      </c>
      <c r="AI19" s="130">
        <f>VLOOKUP($AH$9,'Исх дан мат и усл'!$C$6:$E$3800,2,FALSE)*$AI$6*AH19</f>
        <v>0</v>
      </c>
      <c r="AJ19" s="130">
        <f t="shared" si="13"/>
        <v>0</v>
      </c>
      <c r="AK19" s="130">
        <f>VLOOKUP($AJ$9,'Исх дан мат и усл'!$C$6:$E$3400,2,FALSE)*AJ19</f>
        <v>0</v>
      </c>
      <c r="AL19" s="130">
        <f>SUM(Бланк!AG30:AG32)</f>
        <v>0</v>
      </c>
      <c r="AM19" s="130">
        <f>VLOOKUP($AL$9,'Исх дан мат и усл'!$C$6:$E$3400,2,FALSE)*AL19</f>
        <v>0</v>
      </c>
      <c r="AN19" s="130">
        <f>Бланк!AE30+Бланк!AF30+Бланк!AF31</f>
        <v>0</v>
      </c>
      <c r="AO19" s="130">
        <f>VLOOKUP($AN$9,'Исх дан мат и усл'!$C$6:$E$3400,2,FALSE)*AN19</f>
        <v>0</v>
      </c>
      <c r="AP19" s="130">
        <f>Бланк!AH30+Бланк!AH31</f>
        <v>0</v>
      </c>
      <c r="AQ19" s="130">
        <f>VLOOKUP($AP$9,'Исх дан мат и усл'!$C$6:$E$3400,2,FALSE)*AP19</f>
        <v>0</v>
      </c>
      <c r="AR19" s="130">
        <f>Бланк!AI30</f>
        <v>0</v>
      </c>
      <c r="AS19" s="130">
        <f>VLOOKUP($AR$9,'Исх дан мат и усл'!$C$6:$E$3400,2,FALSE)*AR19</f>
        <v>0</v>
      </c>
      <c r="AT19" s="130">
        <f>Бланк!V30</f>
        <v>0</v>
      </c>
      <c r="AU19" s="130">
        <f>IF(T19&lt;0.5,'Исх дан мат и усл'!$D$26*AT19,IF(T19&lt;1,'Исх дан мат и усл'!$D$27*AT19,IF(T19&lt;2,'Исх дан мат и усл'!$D$28*AT19,'Исх дан мат и усл'!$D$29*AT19)))</f>
        <v>0</v>
      </c>
      <c r="BB19" s="19" t="s">
        <v>65</v>
      </c>
      <c r="BC19" s="87" t="s">
        <v>67</v>
      </c>
      <c r="BD19" s="87" t="s">
        <v>251</v>
      </c>
    </row>
    <row r="20" spans="1:56" s="19" customFormat="1" ht="32.25" customHeight="1" thickBot="1" x14ac:dyDescent="0.3">
      <c r="A20" s="74" t="str">
        <f t="shared" si="1"/>
        <v/>
      </c>
      <c r="B20" s="31">
        <v>11</v>
      </c>
      <c r="C20" s="59"/>
      <c r="D20" s="57"/>
      <c r="E20" s="57"/>
      <c r="F20" s="57"/>
      <c r="G20" s="57"/>
      <c r="H20" s="15">
        <f t="shared" si="0"/>
        <v>0</v>
      </c>
      <c r="I20" s="60">
        <f t="shared" si="2"/>
        <v>0</v>
      </c>
      <c r="J20" s="94">
        <f t="shared" si="3"/>
        <v>0</v>
      </c>
      <c r="K20" s="317"/>
      <c r="L20" s="91" t="s">
        <v>67</v>
      </c>
      <c r="M20" s="32"/>
      <c r="N20" s="130">
        <f t="shared" si="4"/>
        <v>0</v>
      </c>
      <c r="O20" s="130">
        <f t="shared" si="5"/>
        <v>0</v>
      </c>
      <c r="P20" s="130">
        <f t="shared" si="6"/>
        <v>0</v>
      </c>
      <c r="Q20" s="125"/>
      <c r="R20" s="125"/>
      <c r="S20" s="125"/>
      <c r="T20" s="130">
        <f t="shared" si="7"/>
        <v>0</v>
      </c>
      <c r="U20" s="129">
        <f t="shared" si="8"/>
        <v>0</v>
      </c>
      <c r="V20" s="130">
        <f>Бланк!AP33*W6+Бланк!AP34*W6</f>
        <v>0</v>
      </c>
      <c r="W20" s="130">
        <f>VLOOKUP(U20,'Исх дан мат и усл'!$C$6:$I$3600,2,FALSE)*V20*$W$7</f>
        <v>0</v>
      </c>
      <c r="X20" s="130">
        <f>IF(Бланк!AD35="Стекло",0,(Бланк!AA35*Бланк!AB35)*Бланк!AC35*Y6)/1000000</f>
        <v>0</v>
      </c>
      <c r="Y20" s="130">
        <f>VLOOKUP(U20,'Исх дан мат и усл'!$C$6:$I$3600,4,FALSE)*X20*$Y$7</f>
        <v>0</v>
      </c>
      <c r="Z20" s="130">
        <f>IF(Бланк!AD35="Стекло",Бланк!AA35*Бланк!AB35*Бланк!AC35/1000000,0)</f>
        <v>0</v>
      </c>
      <c r="AA20" s="130">
        <f t="shared" si="9"/>
        <v>0</v>
      </c>
      <c r="AB20" s="130">
        <f t="shared" si="10"/>
        <v>0</v>
      </c>
      <c r="AC20" s="130">
        <f>VLOOKUP(U20,'Исх дан мат и усл'!$C$6:$I$3600,6,FALSE)*AB20*$AC$7</f>
        <v>0</v>
      </c>
      <c r="AD20" s="130">
        <f>Бланк!AI33/2</f>
        <v>0</v>
      </c>
      <c r="AE20" s="130">
        <f>VLOOKUP($AD$9,'Исх дан мат и усл'!$C$6:$E$3800,2,FALSE)*AD20</f>
        <v>0</v>
      </c>
      <c r="AF20" s="130">
        <f t="shared" si="11"/>
        <v>0</v>
      </c>
      <c r="AG20" s="130">
        <f>VLOOKUP($AF$9,'Исх дан мат и усл'!$C$6:$E$3800,2,FALSE)*$AG$6*AF20</f>
        <v>0</v>
      </c>
      <c r="AH20" s="130">
        <f t="shared" si="12"/>
        <v>0</v>
      </c>
      <c r="AI20" s="130">
        <f>VLOOKUP($AH$9,'Исх дан мат и усл'!$C$6:$E$3800,2,FALSE)*$AI$6*AH20</f>
        <v>0</v>
      </c>
      <c r="AJ20" s="130">
        <f t="shared" si="13"/>
        <v>0</v>
      </c>
      <c r="AK20" s="130">
        <f>VLOOKUP($AJ$9,'Исх дан мат и усл'!$C$6:$E$3400,2,FALSE)*AJ20</f>
        <v>0</v>
      </c>
      <c r="AL20" s="130">
        <f>SUM(Бланк!AG33:AG35)</f>
        <v>0</v>
      </c>
      <c r="AM20" s="130">
        <f>VLOOKUP($AL$9,'Исх дан мат и усл'!$C$6:$E$3400,2,FALSE)*AL20</f>
        <v>0</v>
      </c>
      <c r="AN20" s="130">
        <f>Бланк!AE33+Бланк!AF33+Бланк!AF34</f>
        <v>0</v>
      </c>
      <c r="AO20" s="130">
        <f>VLOOKUP($AN$9,'Исх дан мат и усл'!$C$6:$E$3400,2,FALSE)*AN20</f>
        <v>0</v>
      </c>
      <c r="AP20" s="130">
        <f>Бланк!AH33+Бланк!AH34</f>
        <v>0</v>
      </c>
      <c r="AQ20" s="130">
        <f>VLOOKUP($AP$9,'Исх дан мат и усл'!$C$6:$E$3400,2,FALSE)*AP20</f>
        <v>0</v>
      </c>
      <c r="AR20" s="130">
        <f>Бланк!AI33</f>
        <v>0</v>
      </c>
      <c r="AS20" s="130">
        <f>VLOOKUP($AR$9,'Исх дан мат и усл'!$C$6:$E$3400,2,FALSE)*AR20</f>
        <v>0</v>
      </c>
      <c r="AT20" s="130">
        <f>Бланк!V33</f>
        <v>0</v>
      </c>
      <c r="AU20" s="130">
        <f>IF(T20&lt;0.5,'Исх дан мат и усл'!$D$26*AT20,IF(T20&lt;1,'Исх дан мат и усл'!$D$27*AT20,IF(T20&lt;2,'Исх дан мат и усл'!$D$28*AT20,'Исх дан мат и усл'!$D$29*AT20)))</f>
        <v>0</v>
      </c>
      <c r="BB20" s="19" t="s">
        <v>67</v>
      </c>
      <c r="BC20" s="87" t="s">
        <v>251</v>
      </c>
      <c r="BD20" s="96" t="s">
        <v>65</v>
      </c>
    </row>
    <row r="21" spans="1:56" s="19" customFormat="1" ht="32.25" customHeight="1" thickBot="1" x14ac:dyDescent="0.3">
      <c r="A21" s="74" t="str">
        <f t="shared" si="1"/>
        <v/>
      </c>
      <c r="B21" s="31">
        <v>12</v>
      </c>
      <c r="C21" s="59"/>
      <c r="D21" s="57"/>
      <c r="E21" s="57"/>
      <c r="F21" s="57"/>
      <c r="G21" s="57"/>
      <c r="H21" s="15">
        <f t="shared" si="0"/>
        <v>0</v>
      </c>
      <c r="I21" s="60">
        <f t="shared" si="2"/>
        <v>0</v>
      </c>
      <c r="J21" s="94">
        <f t="shared" si="3"/>
        <v>0</v>
      </c>
      <c r="K21" s="88" t="s">
        <v>131</v>
      </c>
      <c r="L21" s="83" t="s">
        <v>251</v>
      </c>
      <c r="M21" s="32"/>
      <c r="N21" s="130">
        <f t="shared" si="4"/>
        <v>0</v>
      </c>
      <c r="O21" s="130">
        <f t="shared" si="5"/>
        <v>0</v>
      </c>
      <c r="P21" s="130">
        <f t="shared" si="6"/>
        <v>0</v>
      </c>
      <c r="Q21" s="125"/>
      <c r="R21" s="125"/>
      <c r="S21" s="125"/>
      <c r="T21" s="130">
        <f t="shared" si="7"/>
        <v>0</v>
      </c>
      <c r="U21" s="129">
        <f t="shared" si="8"/>
        <v>0</v>
      </c>
      <c r="V21" s="130">
        <f>Бланк!AP36*W6+Бланк!AP37*W6</f>
        <v>0</v>
      </c>
      <c r="W21" s="130">
        <f>VLOOKUP(U21,'Исх дан мат и усл'!$C$6:$I$3600,2,FALSE)*V21*$W$7</f>
        <v>0</v>
      </c>
      <c r="X21" s="130">
        <f>IF(Бланк!AD38="Стекло",0,(Бланк!AA38*Бланк!AB38)*Бланк!AC38*Y6)/1000000</f>
        <v>0</v>
      </c>
      <c r="Y21" s="130">
        <f>VLOOKUP(U21,'Исх дан мат и усл'!$C$6:$I$3600,4,FALSE)*X21*$Y$7</f>
        <v>0</v>
      </c>
      <c r="Z21" s="130">
        <f>IF(Бланк!AD38="Стекло",Бланк!AA38*Бланк!AB38*Бланк!AC38/1000000,0)</f>
        <v>0</v>
      </c>
      <c r="AA21" s="130">
        <f t="shared" si="9"/>
        <v>0</v>
      </c>
      <c r="AB21" s="130">
        <f t="shared" si="10"/>
        <v>0</v>
      </c>
      <c r="AC21" s="130">
        <f>VLOOKUP(U21,'Исх дан мат и усл'!$C$6:$I$3600,6,FALSE)*AB21*$AC$7</f>
        <v>0</v>
      </c>
      <c r="AD21" s="130">
        <f>Бланк!AI36/2</f>
        <v>0</v>
      </c>
      <c r="AE21" s="130">
        <f>VLOOKUP($AD$9,'Исх дан мат и усл'!$C$6:$E$3800,2,FALSE)*AD21</f>
        <v>0</v>
      </c>
      <c r="AF21" s="130">
        <f t="shared" si="11"/>
        <v>0</v>
      </c>
      <c r="AG21" s="130">
        <f>VLOOKUP($AF$9,'Исх дан мат и усл'!$C$6:$E$3800,2,FALSE)*$AG$6*AF21</f>
        <v>0</v>
      </c>
      <c r="AH21" s="130">
        <f t="shared" si="12"/>
        <v>0</v>
      </c>
      <c r="AI21" s="130">
        <f>VLOOKUP($AH$9,'Исх дан мат и усл'!$C$6:$E$3800,2,FALSE)*$AI$6*AH21</f>
        <v>0</v>
      </c>
      <c r="AJ21" s="130">
        <f t="shared" si="13"/>
        <v>0</v>
      </c>
      <c r="AK21" s="130">
        <f>VLOOKUP($AJ$9,'Исх дан мат и усл'!$C$6:$E$3400,2,FALSE)*AJ21</f>
        <v>0</v>
      </c>
      <c r="AL21" s="130">
        <f>SUM(Бланк!AG36:AG38)</f>
        <v>0</v>
      </c>
      <c r="AM21" s="130">
        <f>VLOOKUP($AL$9,'Исх дан мат и усл'!$C$6:$E$3400,2,FALSE)*AL21</f>
        <v>0</v>
      </c>
      <c r="AN21" s="130">
        <f>Бланк!AE36+Бланк!AF36+Бланк!AF37</f>
        <v>0</v>
      </c>
      <c r="AO21" s="130">
        <f>VLOOKUP($AN$9,'Исх дан мат и усл'!$C$6:$E$3400,2,FALSE)*AN21</f>
        <v>0</v>
      </c>
      <c r="AP21" s="130">
        <f>Бланк!AH36+Бланк!AH37</f>
        <v>0</v>
      </c>
      <c r="AQ21" s="130">
        <f>VLOOKUP($AP$9,'Исх дан мат и усл'!$C$6:$E$3400,2,FALSE)*AP21</f>
        <v>0</v>
      </c>
      <c r="AR21" s="130">
        <f>Бланк!AI36</f>
        <v>0</v>
      </c>
      <c r="AS21" s="130">
        <f>VLOOKUP($AR$9,'Исх дан мат и усл'!$C$6:$E$3400,2,FALSE)*AR21</f>
        <v>0</v>
      </c>
      <c r="AT21" s="130">
        <f>Бланк!V36</f>
        <v>0</v>
      </c>
      <c r="AU21" s="130">
        <f>IF(T21&lt;0.5,'Исх дан мат и усл'!$D$26*AT21,IF(T21&lt;1,'Исх дан мат и усл'!$D$27*AT21,IF(T21&lt;2,'Исх дан мат и усл'!$D$28*AT21,'Исх дан мат и усл'!$D$29*AT21)))</f>
        <v>0</v>
      </c>
      <c r="BB21" s="19" t="s">
        <v>251</v>
      </c>
      <c r="BC21" s="96" t="s">
        <v>65</v>
      </c>
    </row>
    <row r="22" spans="1:56" s="19" customFormat="1" ht="32.25" customHeight="1" x14ac:dyDescent="0.25">
      <c r="A22" s="74" t="str">
        <f t="shared" si="1"/>
        <v/>
      </c>
      <c r="B22" s="31">
        <v>13</v>
      </c>
      <c r="C22" s="59"/>
      <c r="D22" s="57"/>
      <c r="E22" s="57"/>
      <c r="F22" s="57"/>
      <c r="G22" s="57"/>
      <c r="H22" s="15">
        <f t="shared" si="0"/>
        <v>0</v>
      </c>
      <c r="I22" s="60">
        <f t="shared" si="2"/>
        <v>0</v>
      </c>
      <c r="J22" s="33">
        <f t="shared" si="3"/>
        <v>0</v>
      </c>
      <c r="K22" s="80"/>
      <c r="L22" s="81"/>
      <c r="N22" s="130">
        <f t="shared" si="4"/>
        <v>0</v>
      </c>
      <c r="O22" s="130">
        <f t="shared" si="5"/>
        <v>0</v>
      </c>
      <c r="P22" s="130">
        <f t="shared" si="6"/>
        <v>0</v>
      </c>
      <c r="Q22" s="125"/>
      <c r="R22" s="125"/>
      <c r="S22" s="125"/>
      <c r="T22" s="130">
        <f t="shared" si="7"/>
        <v>0</v>
      </c>
      <c r="U22" s="129">
        <f t="shared" si="8"/>
        <v>0</v>
      </c>
      <c r="V22" s="130">
        <f>Бланк!AP39*W6+Бланк!AP40*W6</f>
        <v>0</v>
      </c>
      <c r="W22" s="130">
        <f>VLOOKUP(U22,'Исх дан мат и усл'!$C$6:$I$3600,2,FALSE)*V22*$W$7</f>
        <v>0</v>
      </c>
      <c r="X22" s="130">
        <f>IF(Бланк!AD41="Стекло",0,(Бланк!AA41*Бланк!AB41)*Бланк!AC41*Y6)/1000000</f>
        <v>0</v>
      </c>
      <c r="Y22" s="130">
        <f>VLOOKUP(U22,'Исх дан мат и усл'!$C$6:$I$3600,4,FALSE)*X22*$Y$7</f>
        <v>0</v>
      </c>
      <c r="Z22" s="130">
        <f>IF(Бланк!AD41="Стекло",Бланк!AA41*Бланк!AB41*Бланк!AC41/1000000,0)</f>
        <v>0</v>
      </c>
      <c r="AA22" s="130">
        <f t="shared" si="9"/>
        <v>0</v>
      </c>
      <c r="AB22" s="130">
        <f t="shared" si="10"/>
        <v>0</v>
      </c>
      <c r="AC22" s="130">
        <f>VLOOKUP(U22,'Исх дан мат и усл'!$C$6:$I$3600,6,FALSE)*AB22*$AC$7</f>
        <v>0</v>
      </c>
      <c r="AD22" s="130">
        <f>Бланк!AI39/2</f>
        <v>0</v>
      </c>
      <c r="AE22" s="130">
        <f>VLOOKUP($AD$9,'Исх дан мат и усл'!$C$6:$E$3800,2,FALSE)*AD22</f>
        <v>0</v>
      </c>
      <c r="AF22" s="130">
        <f t="shared" si="11"/>
        <v>0</v>
      </c>
      <c r="AG22" s="130">
        <f>VLOOKUP($AF$9,'Исх дан мат и усл'!$C$6:$E$3800,2,FALSE)*$AG$6*AF22</f>
        <v>0</v>
      </c>
      <c r="AH22" s="130">
        <f t="shared" si="12"/>
        <v>0</v>
      </c>
      <c r="AI22" s="130">
        <f>VLOOKUP($AH$9,'Исх дан мат и усл'!$C$6:$E$3800,2,FALSE)*$AI$6*AH22</f>
        <v>0</v>
      </c>
      <c r="AJ22" s="130">
        <f t="shared" si="13"/>
        <v>0</v>
      </c>
      <c r="AK22" s="130">
        <f>VLOOKUP($AJ$9,'Исх дан мат и усл'!$C$6:$E$3400,2,FALSE)*AJ22</f>
        <v>0</v>
      </c>
      <c r="AL22" s="130">
        <f>SUM(Бланк!AG39:AG41)</f>
        <v>0</v>
      </c>
      <c r="AM22" s="130">
        <f>VLOOKUP($AL$9,'Исх дан мат и усл'!$C$6:$E$3400,2,FALSE)*AL22</f>
        <v>0</v>
      </c>
      <c r="AN22" s="130">
        <f>Бланк!AE39+Бланк!AF39+Бланк!AF40</f>
        <v>0</v>
      </c>
      <c r="AO22" s="130">
        <f>VLOOKUP($AN$9,'Исх дан мат и усл'!$C$6:$E$3400,2,FALSE)*AN22</f>
        <v>0</v>
      </c>
      <c r="AP22" s="130">
        <f>Бланк!AH39+Бланк!AH40</f>
        <v>0</v>
      </c>
      <c r="AQ22" s="130">
        <f>VLOOKUP($AP$9,'Исх дан мат и усл'!$C$6:$E$3400,2,FALSE)*AP22</f>
        <v>0</v>
      </c>
      <c r="AR22" s="130">
        <f>Бланк!AI39</f>
        <v>0</v>
      </c>
      <c r="AS22" s="130">
        <f>VLOOKUP($AR$9,'Исх дан мат и усл'!$C$6:$E$3400,2,FALSE)*AR22</f>
        <v>0</v>
      </c>
      <c r="AT22" s="130">
        <f>Бланк!V39</f>
        <v>0</v>
      </c>
      <c r="AU22" s="130">
        <f>IF(T22&lt;0.5,'Исх дан мат и усл'!$D$26*AT22,IF(T22&lt;1,'Исх дан мат и усл'!$D$27*AT22,IF(T22&lt;2,'Исх дан мат и усл'!$D$28*AT22,'Исх дан мат и усл'!$D$29*AT22)))</f>
        <v>0</v>
      </c>
    </row>
    <row r="23" spans="1:56" s="19" customFormat="1" ht="32.25" customHeight="1" x14ac:dyDescent="0.25">
      <c r="A23" s="74" t="str">
        <f t="shared" si="1"/>
        <v/>
      </c>
      <c r="B23" s="31">
        <v>14</v>
      </c>
      <c r="C23" s="59"/>
      <c r="D23" s="57"/>
      <c r="E23" s="57"/>
      <c r="F23" s="57"/>
      <c r="G23" s="57"/>
      <c r="H23" s="15">
        <f t="shared" si="0"/>
        <v>0</v>
      </c>
      <c r="I23" s="60">
        <f t="shared" si="2"/>
        <v>0</v>
      </c>
      <c r="J23" s="33">
        <f t="shared" si="3"/>
        <v>0</v>
      </c>
      <c r="K23" s="82"/>
      <c r="L23" s="81"/>
      <c r="N23" s="130">
        <f t="shared" si="4"/>
        <v>0</v>
      </c>
      <c r="O23" s="130">
        <f t="shared" si="5"/>
        <v>0</v>
      </c>
      <c r="P23" s="130">
        <f t="shared" si="6"/>
        <v>0</v>
      </c>
      <c r="Q23" s="125"/>
      <c r="R23" s="125"/>
      <c r="S23" s="125"/>
      <c r="T23" s="130">
        <f t="shared" si="7"/>
        <v>0</v>
      </c>
      <c r="U23" s="129">
        <f t="shared" si="8"/>
        <v>0</v>
      </c>
      <c r="V23" s="130">
        <f>Бланк!AP42*W6+Бланк!AP43*W6</f>
        <v>0</v>
      </c>
      <c r="W23" s="130">
        <f>VLOOKUP(U23,'Исх дан мат и усл'!$C$6:$I$3600,2,FALSE)*V23*$W$7</f>
        <v>0</v>
      </c>
      <c r="X23" s="130">
        <f>IF(Бланк!AD44="Стекло",0,(Бланк!AA44*Бланк!AB44)*Бланк!AC44*Y6)/1000000</f>
        <v>0</v>
      </c>
      <c r="Y23" s="130">
        <f>VLOOKUP(U23,'Исх дан мат и усл'!$C$6:$I$3600,4,FALSE)*X23*$Y$7</f>
        <v>0</v>
      </c>
      <c r="Z23" s="130">
        <f>IF(Бланк!AD44="Стекло",Бланк!AA44*Бланк!AB44*Бланк!AC44/1000000,0)</f>
        <v>0</v>
      </c>
      <c r="AA23" s="130">
        <f t="shared" si="9"/>
        <v>0</v>
      </c>
      <c r="AB23" s="130">
        <f t="shared" si="10"/>
        <v>0</v>
      </c>
      <c r="AC23" s="130">
        <f>VLOOKUP(U23,'Исх дан мат и усл'!$C$6:$I$3600,6,FALSE)*AB23*$AC$7</f>
        <v>0</v>
      </c>
      <c r="AD23" s="130">
        <f>Бланк!AI42/2</f>
        <v>0</v>
      </c>
      <c r="AE23" s="130">
        <f>VLOOKUP($AD$9,'Исх дан мат и усл'!$C$6:$E$3800,2,FALSE)*AD23</f>
        <v>0</v>
      </c>
      <c r="AF23" s="130">
        <f t="shared" si="11"/>
        <v>0</v>
      </c>
      <c r="AG23" s="130">
        <f>VLOOKUP($AF$9,'Исх дан мат и усл'!$C$6:$E$3800,2,FALSE)*$AG$6*AF23</f>
        <v>0</v>
      </c>
      <c r="AH23" s="130">
        <f t="shared" si="12"/>
        <v>0</v>
      </c>
      <c r="AI23" s="130">
        <f>VLOOKUP($AH$9,'Исх дан мат и усл'!$C$6:$E$3800,2,FALSE)*$AI$6*AH23</f>
        <v>0</v>
      </c>
      <c r="AJ23" s="130">
        <f t="shared" si="13"/>
        <v>0</v>
      </c>
      <c r="AK23" s="130">
        <f>VLOOKUP($AJ$9,'Исх дан мат и усл'!$C$6:$E$3400,2,FALSE)*AJ23</f>
        <v>0</v>
      </c>
      <c r="AL23" s="130">
        <f>SUM(Бланк!AG42:AG44)</f>
        <v>0</v>
      </c>
      <c r="AM23" s="130">
        <f>VLOOKUP($AL$9,'Исх дан мат и усл'!$C$6:$E$3400,2,FALSE)*AL23</f>
        <v>0</v>
      </c>
      <c r="AN23" s="130">
        <f>Бланк!AE42+Бланк!AF42+Бланк!AF43</f>
        <v>0</v>
      </c>
      <c r="AO23" s="130">
        <f>VLOOKUP($AN$9,'Исх дан мат и усл'!$C$6:$E$3400,2,FALSE)*AN23</f>
        <v>0</v>
      </c>
      <c r="AP23" s="130">
        <f>Бланк!AH42+Бланк!AH43</f>
        <v>0</v>
      </c>
      <c r="AQ23" s="130">
        <f>VLOOKUP($AP$9,'Исх дан мат и усл'!$C$6:$E$3400,2,FALSE)*AP23</f>
        <v>0</v>
      </c>
      <c r="AR23" s="130">
        <f>Бланк!AI42</f>
        <v>0</v>
      </c>
      <c r="AS23" s="130">
        <f>VLOOKUP($AR$9,'Исх дан мат и усл'!$C$6:$E$3400,2,FALSE)*AR23</f>
        <v>0</v>
      </c>
      <c r="AT23" s="130">
        <f>Бланк!V42</f>
        <v>0</v>
      </c>
      <c r="AU23" s="130">
        <f>IF(T23&lt;0.5,'Исх дан мат и усл'!$D$26*AT23,IF(T23&lt;1,'Исх дан мат и усл'!$D$27*AT23,IF(T23&lt;2,'Исх дан мат и усл'!$D$28*AT23,'Исх дан мат и усл'!$D$29*AT23)))</f>
        <v>0</v>
      </c>
    </row>
    <row r="24" spans="1:56" s="19" customFormat="1" ht="32.25" customHeight="1" x14ac:dyDescent="0.25">
      <c r="A24" s="74" t="str">
        <f t="shared" si="1"/>
        <v/>
      </c>
      <c r="B24" s="31">
        <v>15</v>
      </c>
      <c r="C24" s="59"/>
      <c r="D24" s="57"/>
      <c r="E24" s="57"/>
      <c r="F24" s="57"/>
      <c r="G24" s="57"/>
      <c r="H24" s="15">
        <f t="shared" si="0"/>
        <v>0</v>
      </c>
      <c r="I24" s="60">
        <f t="shared" si="2"/>
        <v>0</v>
      </c>
      <c r="J24" s="33">
        <f t="shared" si="3"/>
        <v>0</v>
      </c>
      <c r="K24" s="7"/>
      <c r="L24" s="78"/>
      <c r="N24" s="130">
        <f t="shared" si="4"/>
        <v>0</v>
      </c>
      <c r="O24" s="130">
        <f t="shared" si="5"/>
        <v>0</v>
      </c>
      <c r="P24" s="130">
        <f t="shared" si="6"/>
        <v>0</v>
      </c>
      <c r="Q24" s="125"/>
      <c r="R24" s="125"/>
      <c r="S24" s="125"/>
      <c r="T24" s="130">
        <f t="shared" si="7"/>
        <v>0</v>
      </c>
      <c r="U24" s="129">
        <f t="shared" si="8"/>
        <v>0</v>
      </c>
      <c r="V24" s="130">
        <f>Бланк!AP45*W6+Бланк!AP46*W6</f>
        <v>0</v>
      </c>
      <c r="W24" s="130">
        <f>VLOOKUP(U24,'Исх дан мат и усл'!$C$6:$I$3600,2,FALSE)*V24*$W$7</f>
        <v>0</v>
      </c>
      <c r="X24" s="130">
        <f>IF(Бланк!AD47="Стекло",0,(Бланк!AA47*Бланк!AB47)*Бланк!AC47*Y6)/1000000</f>
        <v>0</v>
      </c>
      <c r="Y24" s="130">
        <f>VLOOKUP(U24,'Исх дан мат и усл'!$C$6:$I$3600,4,FALSE)*X24*$Y$7</f>
        <v>0</v>
      </c>
      <c r="Z24" s="130">
        <f>IF(Бланк!AD47="Стекло",Бланк!AA47*Бланк!AB47*Бланк!AC47/1000000,0)</f>
        <v>0</v>
      </c>
      <c r="AA24" s="130">
        <f t="shared" si="9"/>
        <v>0</v>
      </c>
      <c r="AB24" s="130">
        <f t="shared" si="10"/>
        <v>0</v>
      </c>
      <c r="AC24" s="130">
        <f>VLOOKUP(U24,'Исх дан мат и усл'!$C$6:$I$3600,6,FALSE)*AB24*$AC$7</f>
        <v>0</v>
      </c>
      <c r="AD24" s="130">
        <f>Бланк!AI45/2</f>
        <v>0</v>
      </c>
      <c r="AE24" s="130">
        <f>VLOOKUP($AD$9,'Исх дан мат и усл'!$C$6:$E$3800,2,FALSE)*AD24</f>
        <v>0</v>
      </c>
      <c r="AF24" s="130">
        <f t="shared" si="11"/>
        <v>0</v>
      </c>
      <c r="AG24" s="130">
        <f>VLOOKUP($AF$9,'Исх дан мат и усл'!$C$6:$E$3800,2,FALSE)*$AG$6*AF24</f>
        <v>0</v>
      </c>
      <c r="AH24" s="130">
        <f t="shared" si="12"/>
        <v>0</v>
      </c>
      <c r="AI24" s="130">
        <f>VLOOKUP($AH$9,'Исх дан мат и усл'!$C$6:$E$3800,2,FALSE)*$AI$6*AH24</f>
        <v>0</v>
      </c>
      <c r="AJ24" s="130">
        <f t="shared" si="13"/>
        <v>0</v>
      </c>
      <c r="AK24" s="130">
        <f>VLOOKUP($AJ$9,'Исх дан мат и усл'!$C$6:$E$3400,2,FALSE)*AJ24</f>
        <v>0</v>
      </c>
      <c r="AL24" s="130">
        <f>SUM(Бланк!AG45:AG47)</f>
        <v>0</v>
      </c>
      <c r="AM24" s="130">
        <f>VLOOKUP($AL$9,'Исх дан мат и усл'!$C$6:$E$3400,2,FALSE)*AL24</f>
        <v>0</v>
      </c>
      <c r="AN24" s="130">
        <f>Бланк!AE45+Бланк!AF45+Бланк!AF46</f>
        <v>0</v>
      </c>
      <c r="AO24" s="130">
        <f>VLOOKUP($AN$9,'Исх дан мат и усл'!$C$6:$E$3400,2,FALSE)*AN24</f>
        <v>0</v>
      </c>
      <c r="AP24" s="130">
        <f>Бланк!AH45+Бланк!AH46</f>
        <v>0</v>
      </c>
      <c r="AQ24" s="130">
        <f>VLOOKUP($AP$9,'Исх дан мат и усл'!$C$6:$E$3400,2,FALSE)*AP24</f>
        <v>0</v>
      </c>
      <c r="AR24" s="130">
        <f>Бланк!AI45</f>
        <v>0</v>
      </c>
      <c r="AS24" s="130">
        <f>VLOOKUP($AR$9,'Исх дан мат и усл'!$C$6:$E$3400,2,FALSE)*AR24</f>
        <v>0</v>
      </c>
      <c r="AT24" s="130">
        <f>Бланк!V45</f>
        <v>0</v>
      </c>
      <c r="AU24" s="130">
        <f>IF(T24&lt;0.5,'Исх дан мат и усл'!$D$26*AT24,IF(T24&lt;1,'Исх дан мат и усл'!$D$27*AT24,IF(T24&lt;2,'Исх дан мат и усл'!$D$28*AT24,'Исх дан мат и усл'!$D$29*AT24)))</f>
        <v>0</v>
      </c>
    </row>
    <row r="25" spans="1:56" s="19" customFormat="1" ht="32.25" customHeight="1" x14ac:dyDescent="0.25">
      <c r="A25" s="74" t="str">
        <f t="shared" si="1"/>
        <v/>
      </c>
      <c r="B25" s="31">
        <v>16</v>
      </c>
      <c r="C25" s="59"/>
      <c r="D25" s="57"/>
      <c r="E25" s="57"/>
      <c r="F25" s="57"/>
      <c r="G25" s="57"/>
      <c r="H25" s="15">
        <f t="shared" si="0"/>
        <v>0</v>
      </c>
      <c r="I25" s="60">
        <f t="shared" si="2"/>
        <v>0</v>
      </c>
      <c r="J25" s="33">
        <f t="shared" si="3"/>
        <v>0</v>
      </c>
      <c r="K25" s="306"/>
      <c r="L25" s="307"/>
      <c r="M25" s="97"/>
      <c r="N25" s="131">
        <f t="shared" si="4"/>
        <v>0</v>
      </c>
      <c r="O25" s="130">
        <f t="shared" si="5"/>
        <v>0</v>
      </c>
      <c r="P25" s="130">
        <f t="shared" si="6"/>
        <v>0</v>
      </c>
      <c r="Q25" s="125"/>
      <c r="R25" s="125"/>
      <c r="S25" s="125"/>
      <c r="T25" s="130">
        <f t="shared" si="7"/>
        <v>0</v>
      </c>
      <c r="U25" s="129">
        <f t="shared" si="8"/>
        <v>0</v>
      </c>
      <c r="V25" s="130">
        <f>Бланк!AP48*W6+Бланк!AP49*W6</f>
        <v>0</v>
      </c>
      <c r="W25" s="130">
        <f>VLOOKUP(U25,'Исх дан мат и усл'!$C$6:$I$3600,2,FALSE)*V25*$W$7</f>
        <v>0</v>
      </c>
      <c r="X25" s="130">
        <f>IF(Бланк!AD50="Стекло",0,(Бланк!AA50*Бланк!AB50)*Бланк!AC50*Y6)/1000000</f>
        <v>0</v>
      </c>
      <c r="Y25" s="130">
        <f>VLOOKUP(U25,'Исх дан мат и усл'!$C$6:$I$3600,4,FALSE)*X25*$Y$7</f>
        <v>0</v>
      </c>
      <c r="Z25" s="130">
        <f>IF(Бланк!AD50="Стекло",Бланк!AA50*Бланк!AB50*Бланк!AC50/1000000,0)</f>
        <v>0</v>
      </c>
      <c r="AA25" s="130">
        <f t="shared" si="9"/>
        <v>0</v>
      </c>
      <c r="AB25" s="130">
        <f t="shared" si="10"/>
        <v>0</v>
      </c>
      <c r="AC25" s="130">
        <f>VLOOKUP(U25,'Исх дан мат и усл'!$C$6:$I$3600,6,FALSE)*AB25*$AC$7</f>
        <v>0</v>
      </c>
      <c r="AD25" s="130">
        <f>Бланк!AI48/2</f>
        <v>0</v>
      </c>
      <c r="AE25" s="130">
        <f>VLOOKUP($AD$9,'Исх дан мат и усл'!$C$6:$E$3800,2,FALSE)*AD25</f>
        <v>0</v>
      </c>
      <c r="AF25" s="130">
        <f t="shared" si="11"/>
        <v>0</v>
      </c>
      <c r="AG25" s="130">
        <f>VLOOKUP($AF$9,'Исх дан мат и усл'!$C$6:$E$3800,2,FALSE)*$AG$6*AF25</f>
        <v>0</v>
      </c>
      <c r="AH25" s="130">
        <f t="shared" si="12"/>
        <v>0</v>
      </c>
      <c r="AI25" s="130">
        <f>VLOOKUP($AH$9,'Исх дан мат и усл'!$C$6:$E$3800,2,FALSE)*$AI$6*AH25</f>
        <v>0</v>
      </c>
      <c r="AJ25" s="130">
        <f t="shared" si="13"/>
        <v>0</v>
      </c>
      <c r="AK25" s="130">
        <f>VLOOKUP($AJ$9,'Исх дан мат и усл'!$C$6:$E$3400,2,FALSE)*AJ25</f>
        <v>0</v>
      </c>
      <c r="AL25" s="130">
        <f>SUM(Бланк!AG48:AG50)</f>
        <v>0</v>
      </c>
      <c r="AM25" s="130">
        <f>VLOOKUP($AL$9,'Исх дан мат и усл'!$C$6:$E$3400,2,FALSE)*AL25</f>
        <v>0</v>
      </c>
      <c r="AN25" s="130">
        <f>Бланк!AE48+Бланк!AF48+Бланк!AF49</f>
        <v>0</v>
      </c>
      <c r="AO25" s="130">
        <f>VLOOKUP($AN$9,'Исх дан мат и усл'!$C$6:$E$3400,2,FALSE)*AN25</f>
        <v>0</v>
      </c>
      <c r="AP25" s="130">
        <f>Бланк!AH48+Бланк!AH49</f>
        <v>0</v>
      </c>
      <c r="AQ25" s="130">
        <f>VLOOKUP($AP$9,'Исх дан мат и усл'!$C$6:$E$3400,2,FALSE)*AP25</f>
        <v>0</v>
      </c>
      <c r="AR25" s="130">
        <f>Бланк!AI48</f>
        <v>0</v>
      </c>
      <c r="AS25" s="130">
        <f>VLOOKUP($AR$9,'Исх дан мат и усл'!$C$6:$E$3400,2,FALSE)*AR25</f>
        <v>0</v>
      </c>
      <c r="AT25" s="130">
        <f>Бланк!V48</f>
        <v>0</v>
      </c>
      <c r="AU25" s="130">
        <f>IF(T25&lt;0.5,'Исх дан мат и усл'!$D$26*AT25,IF(T25&lt;1,'Исх дан мат и усл'!$D$27*AT25,IF(T25&lt;2,'Исх дан мат и усл'!$D$28*AT25,'Исх дан мат и усл'!$D$29*AT25)))</f>
        <v>0</v>
      </c>
    </row>
    <row r="26" spans="1:56" s="19" customFormat="1" ht="32.25" customHeight="1" x14ac:dyDescent="0.25">
      <c r="A26" s="74" t="str">
        <f t="shared" si="1"/>
        <v/>
      </c>
      <c r="B26" s="31">
        <v>17</v>
      </c>
      <c r="C26" s="59"/>
      <c r="D26" s="57"/>
      <c r="E26" s="57"/>
      <c r="F26" s="57"/>
      <c r="G26" s="57"/>
      <c r="H26" s="15">
        <f t="shared" si="0"/>
        <v>0</v>
      </c>
      <c r="I26" s="60">
        <f t="shared" si="2"/>
        <v>0</v>
      </c>
      <c r="J26" s="33">
        <f t="shared" si="3"/>
        <v>0</v>
      </c>
      <c r="K26" s="98"/>
      <c r="L26" s="99"/>
      <c r="M26" s="100"/>
      <c r="N26" s="131">
        <f t="shared" si="4"/>
        <v>0</v>
      </c>
      <c r="O26" s="130">
        <f t="shared" si="5"/>
        <v>0</v>
      </c>
      <c r="P26" s="130">
        <f t="shared" si="6"/>
        <v>0</v>
      </c>
      <c r="Q26" s="125"/>
      <c r="R26" s="125"/>
      <c r="S26" s="125"/>
      <c r="T26" s="130">
        <f t="shared" si="7"/>
        <v>0</v>
      </c>
      <c r="U26" s="129">
        <f t="shared" si="8"/>
        <v>0</v>
      </c>
      <c r="V26" s="130">
        <f>Бланк!AP51*W6+Бланк!AP52*W6</f>
        <v>0</v>
      </c>
      <c r="W26" s="130">
        <f>VLOOKUP(U26,'Исх дан мат и усл'!$C$6:$I$3600,2,FALSE)*V26*$W$7</f>
        <v>0</v>
      </c>
      <c r="X26" s="130">
        <f>IF(Бланк!AD53="Стекло",0,(Бланк!AA53*Бланк!AB53)*Бланк!AC53*Y6)/1000000</f>
        <v>0</v>
      </c>
      <c r="Y26" s="130">
        <f>VLOOKUP(U26,'Исх дан мат и усл'!$C$6:$I$3600,4,FALSE)*X26*$Y$7</f>
        <v>0</v>
      </c>
      <c r="Z26" s="130">
        <f>IF(Бланк!AD53="Стекло",Бланк!AA53*Бланк!AB53*Бланк!AC53/1000000,0)</f>
        <v>0</v>
      </c>
      <c r="AA26" s="130">
        <f t="shared" si="9"/>
        <v>0</v>
      </c>
      <c r="AB26" s="130">
        <f t="shared" si="10"/>
        <v>0</v>
      </c>
      <c r="AC26" s="130">
        <f>VLOOKUP(U26,'Исх дан мат и усл'!$C$6:$I$3600,6,FALSE)*AB26*$AC$7</f>
        <v>0</v>
      </c>
      <c r="AD26" s="130">
        <f>Бланк!AI51/2</f>
        <v>0</v>
      </c>
      <c r="AE26" s="130">
        <f>VLOOKUP($AD$9,'Исх дан мат и усл'!$C$6:$E$3800,2,FALSE)*AD26</f>
        <v>0</v>
      </c>
      <c r="AF26" s="130">
        <f t="shared" si="11"/>
        <v>0</v>
      </c>
      <c r="AG26" s="130">
        <f>VLOOKUP($AF$9,'Исх дан мат и усл'!$C$6:$E$3800,2,FALSE)*$AG$6*AF26</f>
        <v>0</v>
      </c>
      <c r="AH26" s="130">
        <f t="shared" si="12"/>
        <v>0</v>
      </c>
      <c r="AI26" s="130">
        <f>VLOOKUP($AH$9,'Исх дан мат и усл'!$C$6:$E$3800,2,FALSE)*$AI$6*AH26</f>
        <v>0</v>
      </c>
      <c r="AJ26" s="130">
        <f t="shared" si="13"/>
        <v>0</v>
      </c>
      <c r="AK26" s="130">
        <f>VLOOKUP($AJ$9,'Исх дан мат и усл'!$C$6:$E$3400,2,FALSE)*AJ26</f>
        <v>0</v>
      </c>
      <c r="AL26" s="130">
        <f>SUM(Бланк!AG51:AG53)</f>
        <v>0</v>
      </c>
      <c r="AM26" s="130">
        <f>VLOOKUP($AL$9,'Исх дан мат и усл'!$C$6:$E$3400,2,FALSE)*AL26</f>
        <v>0</v>
      </c>
      <c r="AN26" s="130">
        <f>Бланк!AE51+Бланк!AF51+Бланк!AF52</f>
        <v>0</v>
      </c>
      <c r="AO26" s="130">
        <f>VLOOKUP($AN$9,'Исх дан мат и усл'!$C$6:$E$3400,2,FALSE)*AN26</f>
        <v>0</v>
      </c>
      <c r="AP26" s="130">
        <f>Бланк!AH51+Бланк!AH52</f>
        <v>0</v>
      </c>
      <c r="AQ26" s="130">
        <f>VLOOKUP($AP$9,'Исх дан мат и усл'!$C$6:$E$3400,2,FALSE)*AP26</f>
        <v>0</v>
      </c>
      <c r="AR26" s="130">
        <f>Бланк!AI51</f>
        <v>0</v>
      </c>
      <c r="AS26" s="130">
        <f>VLOOKUP($AR$9,'Исх дан мат и усл'!$C$6:$E$3400,2,FALSE)*AR26</f>
        <v>0</v>
      </c>
      <c r="AT26" s="130">
        <f>Бланк!V51</f>
        <v>0</v>
      </c>
      <c r="AU26" s="130">
        <f>IF(T26&lt;0.5,'Исх дан мат и усл'!$D$26*AT26,IF(T26&lt;1,'Исх дан мат и усл'!$D$27*AT26,IF(T26&lt;2,'Исх дан мат и усл'!$D$28*AT26,'Исх дан мат и усл'!$D$29*AT26)))</f>
        <v>0</v>
      </c>
    </row>
    <row r="27" spans="1:56" s="19" customFormat="1" ht="32.25" customHeight="1" x14ac:dyDescent="0.25">
      <c r="A27" s="74" t="str">
        <f t="shared" si="1"/>
        <v/>
      </c>
      <c r="B27" s="31">
        <v>18</v>
      </c>
      <c r="C27" s="59"/>
      <c r="D27" s="57"/>
      <c r="E27" s="57"/>
      <c r="F27" s="57"/>
      <c r="G27" s="57"/>
      <c r="H27" s="15">
        <f t="shared" si="0"/>
        <v>0</v>
      </c>
      <c r="I27" s="60">
        <f t="shared" si="2"/>
        <v>0</v>
      </c>
      <c r="J27" s="33">
        <f t="shared" si="3"/>
        <v>0</v>
      </c>
      <c r="K27" s="98"/>
      <c r="L27" s="99"/>
      <c r="M27" s="100"/>
      <c r="N27" s="131">
        <f t="shared" si="4"/>
        <v>0</v>
      </c>
      <c r="O27" s="130">
        <f t="shared" si="5"/>
        <v>0</v>
      </c>
      <c r="P27" s="130">
        <f t="shared" si="6"/>
        <v>0</v>
      </c>
      <c r="Q27" s="125"/>
      <c r="R27" s="125"/>
      <c r="S27" s="125"/>
      <c r="T27" s="130">
        <f t="shared" si="7"/>
        <v>0</v>
      </c>
      <c r="U27" s="129">
        <f t="shared" si="8"/>
        <v>0</v>
      </c>
      <c r="V27" s="130">
        <f>Бланк!AP54*W6+Бланк!AP55*W6</f>
        <v>0</v>
      </c>
      <c r="W27" s="130">
        <f>VLOOKUP(U27,'Исх дан мат и усл'!$C$6:$I$3600,2,FALSE)*V27*$W$7</f>
        <v>0</v>
      </c>
      <c r="X27" s="130">
        <f>IF(Бланк!AD56="Стекло",0,(Бланк!AA56*Бланк!AB56)*Бланк!AC56*Y6)/1000000</f>
        <v>0</v>
      </c>
      <c r="Y27" s="130">
        <f>VLOOKUP(U27,'Исх дан мат и усл'!$C$6:$I$3600,4,FALSE)*X27*$Y$7</f>
        <v>0</v>
      </c>
      <c r="Z27" s="130">
        <f>IF(Бланк!AD56="Стекло",Бланк!AA56*Бланк!AB56*Бланк!AC56/1000000,0)</f>
        <v>0</v>
      </c>
      <c r="AA27" s="130">
        <f t="shared" si="9"/>
        <v>0</v>
      </c>
      <c r="AB27" s="130">
        <f t="shared" si="10"/>
        <v>0</v>
      </c>
      <c r="AC27" s="130">
        <f>VLOOKUP(U27,'Исх дан мат и усл'!$C$6:$I$3600,6,FALSE)*AB27*$AC$7</f>
        <v>0</v>
      </c>
      <c r="AD27" s="130">
        <f>Бланк!AI54/2</f>
        <v>0</v>
      </c>
      <c r="AE27" s="130">
        <f>VLOOKUP($AD$9,'Исх дан мат и усл'!$C$6:$E$3800,2,FALSE)*AD27</f>
        <v>0</v>
      </c>
      <c r="AF27" s="130">
        <f t="shared" si="11"/>
        <v>0</v>
      </c>
      <c r="AG27" s="130">
        <f>VLOOKUP($AF$9,'Исх дан мат и усл'!$C$6:$E$3800,2,FALSE)*$AG$6*AF27</f>
        <v>0</v>
      </c>
      <c r="AH27" s="130">
        <f t="shared" si="12"/>
        <v>0</v>
      </c>
      <c r="AI27" s="130">
        <f>VLOOKUP($AH$9,'Исх дан мат и усл'!$C$6:$E$3800,2,FALSE)*$AI$6*AH27</f>
        <v>0</v>
      </c>
      <c r="AJ27" s="130">
        <f t="shared" si="13"/>
        <v>0</v>
      </c>
      <c r="AK27" s="130">
        <f>VLOOKUP($AJ$9,'Исх дан мат и усл'!$C$6:$E$3400,2,FALSE)*AJ27</f>
        <v>0</v>
      </c>
      <c r="AL27" s="130">
        <f>SUM(Бланк!AG54:AG56)</f>
        <v>0</v>
      </c>
      <c r="AM27" s="130">
        <f>VLOOKUP($AL$9,'Исх дан мат и усл'!$C$6:$E$3400,2,FALSE)*AL27</f>
        <v>0</v>
      </c>
      <c r="AN27" s="130">
        <f>Бланк!AE54+Бланк!AF54+Бланк!AF55</f>
        <v>0</v>
      </c>
      <c r="AO27" s="130">
        <f>VLOOKUP($AN$9,'Исх дан мат и усл'!$C$6:$E$3400,2,FALSE)*AN27</f>
        <v>0</v>
      </c>
      <c r="AP27" s="130">
        <f>Бланк!AH54+Бланк!AH55</f>
        <v>0</v>
      </c>
      <c r="AQ27" s="130">
        <f>VLOOKUP($AP$9,'Исх дан мат и усл'!$C$6:$E$3400,2,FALSE)*AP27</f>
        <v>0</v>
      </c>
      <c r="AR27" s="130">
        <f>Бланк!AI54</f>
        <v>0</v>
      </c>
      <c r="AS27" s="130">
        <f>VLOOKUP($AR$9,'Исх дан мат и усл'!$C$6:$E$3400,2,FALSE)*AR27</f>
        <v>0</v>
      </c>
      <c r="AT27" s="130">
        <f>Бланк!V54</f>
        <v>0</v>
      </c>
      <c r="AU27" s="130">
        <f>IF(T27&lt;0.5,'Исх дан мат и усл'!$D$26*AT27,IF(T27&lt;1,'Исх дан мат и усл'!$D$27*AT27,IF(T27&lt;2,'Исх дан мат и усл'!$D$28*AT27,'Исх дан мат и усл'!$D$29*AT27)))</f>
        <v>0</v>
      </c>
    </row>
    <row r="28" spans="1:56" s="19" customFormat="1" ht="32.25" customHeight="1" x14ac:dyDescent="0.25">
      <c r="A28" s="74" t="str">
        <f t="shared" si="1"/>
        <v/>
      </c>
      <c r="B28" s="31">
        <v>19</v>
      </c>
      <c r="C28" s="59"/>
      <c r="D28" s="57"/>
      <c r="E28" s="57"/>
      <c r="F28" s="57"/>
      <c r="G28" s="57"/>
      <c r="H28" s="15">
        <f t="shared" si="0"/>
        <v>0</v>
      </c>
      <c r="I28" s="60">
        <f t="shared" si="2"/>
        <v>0</v>
      </c>
      <c r="J28" s="33">
        <f t="shared" si="3"/>
        <v>0</v>
      </c>
      <c r="K28" s="98"/>
      <c r="L28" s="99"/>
      <c r="M28" s="100"/>
      <c r="N28" s="131">
        <f t="shared" si="4"/>
        <v>0</v>
      </c>
      <c r="O28" s="130">
        <f t="shared" si="5"/>
        <v>0</v>
      </c>
      <c r="P28" s="130">
        <f t="shared" si="6"/>
        <v>0</v>
      </c>
      <c r="Q28" s="125"/>
      <c r="R28" s="125"/>
      <c r="S28" s="125"/>
      <c r="T28" s="130">
        <f t="shared" si="7"/>
        <v>0</v>
      </c>
      <c r="U28" s="129">
        <f t="shared" si="8"/>
        <v>0</v>
      </c>
      <c r="V28" s="130">
        <f>Бланк!AP57*W6+Бланк!AP58*W6</f>
        <v>0</v>
      </c>
      <c r="W28" s="130">
        <f>VLOOKUP(U28,'Исх дан мат и усл'!$C$6:$I$3600,2,FALSE)*V28*$W$7</f>
        <v>0</v>
      </c>
      <c r="X28" s="130">
        <f>IF(Бланк!AD59="Стекло",0,(Бланк!AA59*Бланк!AB59)*Бланк!AC59*Y6)/1000000</f>
        <v>0</v>
      </c>
      <c r="Y28" s="130">
        <f>VLOOKUP(U28,'Исх дан мат и усл'!$C$6:$I$3600,4,FALSE)*X28*$Y$7</f>
        <v>0</v>
      </c>
      <c r="Z28" s="130">
        <f>IF(Бланк!AD59="Стекло",Бланк!AA59*Бланк!AB59*Бланк!AC59/1000000,0)</f>
        <v>0</v>
      </c>
      <c r="AA28" s="130">
        <f t="shared" si="9"/>
        <v>0</v>
      </c>
      <c r="AB28" s="130">
        <f t="shared" si="10"/>
        <v>0</v>
      </c>
      <c r="AC28" s="130">
        <f>VLOOKUP(U28,'Исх дан мат и усл'!$C$6:$I$3600,6,FALSE)*AB28*$AC$7</f>
        <v>0</v>
      </c>
      <c r="AD28" s="130">
        <f>Бланк!AI57/2</f>
        <v>0</v>
      </c>
      <c r="AE28" s="130">
        <f>VLOOKUP($AD$9,'Исх дан мат и усл'!$C$6:$E$3800,2,FALSE)*AD28</f>
        <v>0</v>
      </c>
      <c r="AF28" s="130">
        <f t="shared" si="11"/>
        <v>0</v>
      </c>
      <c r="AG28" s="130">
        <f>VLOOKUP($AF$9,'Исх дан мат и усл'!$C$6:$E$3800,2,FALSE)*$AG$6*AF28</f>
        <v>0</v>
      </c>
      <c r="AH28" s="130">
        <f t="shared" si="12"/>
        <v>0</v>
      </c>
      <c r="AI28" s="130">
        <f>VLOOKUP($AH$9,'Исх дан мат и усл'!$C$6:$E$3800,2,FALSE)*$AI$6*AH28</f>
        <v>0</v>
      </c>
      <c r="AJ28" s="130">
        <f t="shared" si="13"/>
        <v>0</v>
      </c>
      <c r="AK28" s="130">
        <f>VLOOKUP($AJ$9,'Исх дан мат и усл'!$C$6:$E$3400,2,FALSE)*AJ28</f>
        <v>0</v>
      </c>
      <c r="AL28" s="130">
        <f>SUM(Бланк!AG57:AG59)</f>
        <v>0</v>
      </c>
      <c r="AM28" s="130">
        <f>VLOOKUP($AL$9,'Исх дан мат и усл'!$C$6:$E$3400,2,FALSE)*AL28</f>
        <v>0</v>
      </c>
      <c r="AN28" s="130">
        <f>Бланк!AE57+Бланк!AF57+Бланк!AF58</f>
        <v>0</v>
      </c>
      <c r="AO28" s="130">
        <f>VLOOKUP($AN$9,'Исх дан мат и усл'!$C$6:$E$3400,2,FALSE)*AN28</f>
        <v>0</v>
      </c>
      <c r="AP28" s="130">
        <f>Бланк!AH57+Бланк!AH58</f>
        <v>0</v>
      </c>
      <c r="AQ28" s="130">
        <f>VLOOKUP($AP$9,'Исх дан мат и усл'!$C$6:$E$3400,2,FALSE)*AP28</f>
        <v>0</v>
      </c>
      <c r="AR28" s="130">
        <f>Бланк!AI57</f>
        <v>0</v>
      </c>
      <c r="AS28" s="130">
        <f>VLOOKUP($AR$9,'Исх дан мат и усл'!$C$6:$E$3400,2,FALSE)*AR28</f>
        <v>0</v>
      </c>
      <c r="AT28" s="130">
        <f>Бланк!V57</f>
        <v>0</v>
      </c>
      <c r="AU28" s="130">
        <f>IF(T28&lt;0.5,'Исх дан мат и усл'!$D$26*AT28,IF(T28&lt;1,'Исх дан мат и усл'!$D$27*AT28,IF(T28&lt;2,'Исх дан мат и усл'!$D$28*AT28,'Исх дан мат и усл'!$D$29*AT28)))</f>
        <v>0</v>
      </c>
    </row>
    <row r="29" spans="1:56" s="19" customFormat="1" ht="32.25" customHeight="1" x14ac:dyDescent="0.25">
      <c r="A29" s="74" t="str">
        <f t="shared" si="1"/>
        <v/>
      </c>
      <c r="B29" s="31">
        <v>20</v>
      </c>
      <c r="C29" s="59"/>
      <c r="D29" s="57"/>
      <c r="E29" s="57"/>
      <c r="F29" s="57"/>
      <c r="G29" s="57"/>
      <c r="H29" s="15">
        <f t="shared" si="0"/>
        <v>0</v>
      </c>
      <c r="I29" s="60">
        <f t="shared" si="2"/>
        <v>0</v>
      </c>
      <c r="J29" s="33">
        <f t="shared" si="3"/>
        <v>0</v>
      </c>
      <c r="K29" s="98"/>
      <c r="L29" s="99"/>
      <c r="M29" s="100"/>
      <c r="N29" s="131">
        <f t="shared" si="4"/>
        <v>0</v>
      </c>
      <c r="O29" s="130">
        <f t="shared" si="5"/>
        <v>0</v>
      </c>
      <c r="P29" s="130">
        <f t="shared" si="6"/>
        <v>0</v>
      </c>
      <c r="Q29" s="125"/>
      <c r="R29" s="125"/>
      <c r="S29" s="125"/>
      <c r="T29" s="130">
        <f t="shared" si="7"/>
        <v>0</v>
      </c>
      <c r="U29" s="129">
        <f t="shared" si="8"/>
        <v>0</v>
      </c>
      <c r="V29" s="130">
        <f>Бланк!AP60*W6+Бланк!AP61*W6</f>
        <v>0</v>
      </c>
      <c r="W29" s="130">
        <f>VLOOKUP(U29,'Исх дан мат и усл'!$C$6:$I$3600,2,FALSE)*V29*$W$7</f>
        <v>0</v>
      </c>
      <c r="X29" s="130">
        <f>IF(Бланк!AD62="Стекло",0,(Бланк!AA62*Бланк!AB62)*Бланк!AC62*Y6)/1000000</f>
        <v>0</v>
      </c>
      <c r="Y29" s="130">
        <f>VLOOKUP(U29,'Исх дан мат и усл'!$C$6:$I$3600,4,FALSE)*X29*$Y$7</f>
        <v>0</v>
      </c>
      <c r="Z29" s="130">
        <f>IF(Бланк!AD62="Стекло",Бланк!AA62*Бланк!AB62*Бланк!AC62/1000000,0)</f>
        <v>0</v>
      </c>
      <c r="AA29" s="130">
        <f t="shared" si="9"/>
        <v>0</v>
      </c>
      <c r="AB29" s="130">
        <f t="shared" si="10"/>
        <v>0</v>
      </c>
      <c r="AC29" s="130">
        <f>VLOOKUP(U29,'Исх дан мат и усл'!$C$6:$I$3600,6,FALSE)*AB29*$AC$7</f>
        <v>0</v>
      </c>
      <c r="AD29" s="130">
        <f>Бланк!AI60/2</f>
        <v>0</v>
      </c>
      <c r="AE29" s="130">
        <f>VLOOKUP($AD$9,'Исх дан мат и усл'!$C$6:$E$3800,2,FALSE)*AD29</f>
        <v>0</v>
      </c>
      <c r="AF29" s="130">
        <f t="shared" si="11"/>
        <v>0</v>
      </c>
      <c r="AG29" s="130">
        <f>VLOOKUP($AF$9,'Исх дан мат и усл'!$C$6:$E$3800,2,FALSE)*$AG$6*AF29</f>
        <v>0</v>
      </c>
      <c r="AH29" s="130">
        <f t="shared" si="12"/>
        <v>0</v>
      </c>
      <c r="AI29" s="130">
        <f>VLOOKUP($AH$9,'Исх дан мат и усл'!$C$6:$E$3800,2,FALSE)*$AI$6*AH29</f>
        <v>0</v>
      </c>
      <c r="AJ29" s="130">
        <f t="shared" si="13"/>
        <v>0</v>
      </c>
      <c r="AK29" s="130">
        <f>VLOOKUP($AJ$9,'Исх дан мат и усл'!$C$6:$E$3400,2,FALSE)*AJ29</f>
        <v>0</v>
      </c>
      <c r="AL29" s="130">
        <f>SUM(Бланк!AG60:AG62)</f>
        <v>0</v>
      </c>
      <c r="AM29" s="130">
        <f>VLOOKUP($AL$9,'Исх дан мат и усл'!$C$6:$E$3400,2,FALSE)*AL29</f>
        <v>0</v>
      </c>
      <c r="AN29" s="130">
        <f>Бланк!AE60+Бланк!AF60+Бланк!AF61</f>
        <v>0</v>
      </c>
      <c r="AO29" s="130">
        <f>VLOOKUP($AN$9,'Исх дан мат и усл'!$C$6:$E$3400,2,FALSE)*AN29</f>
        <v>0</v>
      </c>
      <c r="AP29" s="130">
        <f>Бланк!AH60+Бланк!AH61</f>
        <v>0</v>
      </c>
      <c r="AQ29" s="130">
        <f>VLOOKUP($AP$9,'Исх дан мат и усл'!$C$6:$E$3400,2,FALSE)*AP29</f>
        <v>0</v>
      </c>
      <c r="AR29" s="130">
        <f>Бланк!AI60</f>
        <v>0</v>
      </c>
      <c r="AS29" s="130">
        <f>VLOOKUP($AR$9,'Исх дан мат и усл'!$C$6:$E$3400,2,FALSE)*AR29</f>
        <v>0</v>
      </c>
      <c r="AT29" s="130">
        <f>Бланк!V60</f>
        <v>0</v>
      </c>
      <c r="AU29" s="130">
        <f>IF(T29&lt;0.5,'Исх дан мат и усл'!$D$26*AT29,IF(T29&lt;1,'Исх дан мат и усл'!$D$27*AT29,IF(T29&lt;2,'Исх дан мат и усл'!$D$28*AT29,'Исх дан мат и усл'!$D$29*AT29)))</f>
        <v>0</v>
      </c>
    </row>
    <row r="30" spans="1:56" s="19" customFormat="1" ht="32.25" customHeight="1" x14ac:dyDescent="0.25">
      <c r="A30" s="74" t="str">
        <f t="shared" si="1"/>
        <v/>
      </c>
      <c r="B30" s="31">
        <v>21</v>
      </c>
      <c r="C30" s="59"/>
      <c r="D30" s="57"/>
      <c r="E30" s="57"/>
      <c r="F30" s="57"/>
      <c r="G30" s="57"/>
      <c r="H30" s="15">
        <f t="shared" si="0"/>
        <v>0</v>
      </c>
      <c r="I30" s="60">
        <f t="shared" si="2"/>
        <v>0</v>
      </c>
      <c r="J30" s="33">
        <f t="shared" si="3"/>
        <v>0</v>
      </c>
      <c r="K30" s="101"/>
      <c r="L30" s="101"/>
      <c r="M30" s="100"/>
      <c r="N30" s="131">
        <f t="shared" si="4"/>
        <v>0</v>
      </c>
      <c r="O30" s="130">
        <f t="shared" si="5"/>
        <v>0</v>
      </c>
      <c r="P30" s="130">
        <f t="shared" si="6"/>
        <v>0</v>
      </c>
      <c r="Q30" s="125"/>
      <c r="R30" s="125"/>
      <c r="S30" s="125"/>
      <c r="T30" s="130">
        <f t="shared" si="7"/>
        <v>0</v>
      </c>
      <c r="U30" s="129">
        <f t="shared" si="8"/>
        <v>0</v>
      </c>
      <c r="V30" s="130">
        <f>Бланк!AP63*W6+Бланк!AP64*W6</f>
        <v>0</v>
      </c>
      <c r="W30" s="130">
        <f>VLOOKUP(U30,'Исх дан мат и усл'!$C$6:$I$3600,2,FALSE)*V30*$W$7</f>
        <v>0</v>
      </c>
      <c r="X30" s="130">
        <f>IF(Бланк!AD65="Стекло",0,(Бланк!AA65*Бланк!AB65)*Бланк!AC65*Y6)/1000000</f>
        <v>0</v>
      </c>
      <c r="Y30" s="130">
        <f>VLOOKUP(U30,'Исх дан мат и усл'!$C$6:$I$3600,4,FALSE)*X30*$Y$7</f>
        <v>0</v>
      </c>
      <c r="Z30" s="130">
        <f>IF(Бланк!AD65="Стекло",Бланк!AA65*Бланк!AB65*Бланк!AC65/1000000,0)</f>
        <v>0</v>
      </c>
      <c r="AA30" s="130">
        <f t="shared" si="9"/>
        <v>0</v>
      </c>
      <c r="AB30" s="130">
        <f t="shared" si="10"/>
        <v>0</v>
      </c>
      <c r="AC30" s="130">
        <f>VLOOKUP(U30,'Исх дан мат и усл'!$C$6:$I$3600,6,FALSE)*AB30*$AC$7</f>
        <v>0</v>
      </c>
      <c r="AD30" s="130">
        <f>Бланк!AI63/2</f>
        <v>0</v>
      </c>
      <c r="AE30" s="130">
        <f>VLOOKUP($AD$9,'Исх дан мат и усл'!$C$6:$E$3800,2,FALSE)*AD30</f>
        <v>0</v>
      </c>
      <c r="AF30" s="130">
        <f t="shared" si="11"/>
        <v>0</v>
      </c>
      <c r="AG30" s="130">
        <f>VLOOKUP($AF$9,'Исх дан мат и усл'!$C$6:$E$3800,2,FALSE)*$AG$6*AF30</f>
        <v>0</v>
      </c>
      <c r="AH30" s="130">
        <f t="shared" si="12"/>
        <v>0</v>
      </c>
      <c r="AI30" s="130">
        <f>VLOOKUP($AH$9,'Исх дан мат и усл'!$C$6:$E$3800,2,FALSE)*$AI$6*AH30</f>
        <v>0</v>
      </c>
      <c r="AJ30" s="130">
        <f t="shared" si="13"/>
        <v>0</v>
      </c>
      <c r="AK30" s="130">
        <f>VLOOKUP($AJ$9,'Исх дан мат и усл'!$C$6:$E$3400,2,FALSE)*AJ30</f>
        <v>0</v>
      </c>
      <c r="AL30" s="130">
        <f>SUM(Бланк!AG63:AG65)</f>
        <v>0</v>
      </c>
      <c r="AM30" s="130">
        <f>VLOOKUP($AL$9,'Исх дан мат и усл'!$C$6:$E$3400,2,FALSE)*AL30</f>
        <v>0</v>
      </c>
      <c r="AN30" s="130">
        <f>Бланк!AE63+Бланк!AF63+Бланк!AF64</f>
        <v>0</v>
      </c>
      <c r="AO30" s="130">
        <f>VLOOKUP($AN$9,'Исх дан мат и усл'!$C$6:$E$3400,2,FALSE)*AN30</f>
        <v>0</v>
      </c>
      <c r="AP30" s="130">
        <f>Бланк!AH63+Бланк!AH64</f>
        <v>0</v>
      </c>
      <c r="AQ30" s="130">
        <f>VLOOKUP($AP$9,'Исх дан мат и усл'!$C$6:$E$3400,2,FALSE)*AP30</f>
        <v>0</v>
      </c>
      <c r="AR30" s="130">
        <f>Бланк!AI63</f>
        <v>0</v>
      </c>
      <c r="AS30" s="130">
        <f>VLOOKUP($AR$9,'Исх дан мат и усл'!$C$6:$E$3400,2,FALSE)*AR30</f>
        <v>0</v>
      </c>
      <c r="AT30" s="130">
        <f>Бланк!V63</f>
        <v>0</v>
      </c>
      <c r="AU30" s="130">
        <f>IF(T30&lt;0.5,'Исх дан мат и усл'!$D$26*AT30,IF(T30&lt;1,'Исх дан мат и усл'!$D$27*AT30,IF(T30&lt;2,'Исх дан мат и усл'!$D$28*AT30,'Исх дан мат и усл'!$D$29*AT30)))</f>
        <v>0</v>
      </c>
    </row>
    <row r="31" spans="1:56" s="19" customFormat="1" ht="32.25" customHeight="1" x14ac:dyDescent="0.25">
      <c r="A31" s="74" t="str">
        <f t="shared" si="1"/>
        <v/>
      </c>
      <c r="B31" s="31">
        <v>22</v>
      </c>
      <c r="C31" s="59"/>
      <c r="D31" s="57"/>
      <c r="E31" s="57"/>
      <c r="F31" s="57"/>
      <c r="G31" s="57"/>
      <c r="H31" s="15">
        <f t="shared" si="0"/>
        <v>0</v>
      </c>
      <c r="I31" s="60">
        <f t="shared" si="2"/>
        <v>0</v>
      </c>
      <c r="J31" s="33">
        <f t="shared" si="3"/>
        <v>0</v>
      </c>
      <c r="K31" s="295"/>
      <c r="L31" s="296"/>
      <c r="M31" s="102"/>
      <c r="N31" s="131">
        <f t="shared" si="4"/>
        <v>0</v>
      </c>
      <c r="O31" s="130">
        <f t="shared" si="5"/>
        <v>0</v>
      </c>
      <c r="P31" s="130">
        <f t="shared" si="6"/>
        <v>0</v>
      </c>
      <c r="Q31" s="125"/>
      <c r="R31" s="125"/>
      <c r="S31" s="125"/>
      <c r="T31" s="130">
        <f t="shared" si="7"/>
        <v>0</v>
      </c>
      <c r="U31" s="129">
        <f t="shared" si="8"/>
        <v>0</v>
      </c>
      <c r="V31" s="130">
        <f>Бланк!AP66*W6+Бланк!AP67*W6</f>
        <v>0</v>
      </c>
      <c r="W31" s="130">
        <f>VLOOKUP(U31,'Исх дан мат и усл'!$C$6:$I$3600,2,FALSE)*V31*$W$7</f>
        <v>0</v>
      </c>
      <c r="X31" s="130">
        <f>IF(Бланк!AD68="Стекло",0,(Бланк!AA68*Бланк!AB68)*Бланк!AC68*Y6)/1000000</f>
        <v>0</v>
      </c>
      <c r="Y31" s="130">
        <f>VLOOKUP(U31,'Исх дан мат и усл'!$C$6:$I$3600,4,FALSE)*X31*$Y$7</f>
        <v>0</v>
      </c>
      <c r="Z31" s="130">
        <f>IF(Бланк!AD68="Стекло",Бланк!AA68*Бланк!AB68*Бланк!AC68/1000000,0)</f>
        <v>0</v>
      </c>
      <c r="AA31" s="130">
        <f t="shared" si="9"/>
        <v>0</v>
      </c>
      <c r="AB31" s="130">
        <f t="shared" si="10"/>
        <v>0</v>
      </c>
      <c r="AC31" s="130">
        <f>VLOOKUP(U31,'Исх дан мат и усл'!$C$6:$I$3600,6,FALSE)*AB31*$AC$7</f>
        <v>0</v>
      </c>
      <c r="AD31" s="130">
        <f>Бланк!AI66/2</f>
        <v>0</v>
      </c>
      <c r="AE31" s="130">
        <f>VLOOKUP($AD$9,'Исх дан мат и усл'!$C$6:$E$3800,2,FALSE)*AD31</f>
        <v>0</v>
      </c>
      <c r="AF31" s="130">
        <f t="shared" si="11"/>
        <v>0</v>
      </c>
      <c r="AG31" s="130">
        <f>VLOOKUP($AF$9,'Исх дан мат и усл'!$C$6:$E$3800,2,FALSE)*$AG$6*AF31</f>
        <v>0</v>
      </c>
      <c r="AH31" s="130">
        <f t="shared" si="12"/>
        <v>0</v>
      </c>
      <c r="AI31" s="130">
        <f>VLOOKUP($AH$9,'Исх дан мат и усл'!$C$6:$E$3800,2,FALSE)*$AI$6*AH31</f>
        <v>0</v>
      </c>
      <c r="AJ31" s="130">
        <f t="shared" si="13"/>
        <v>0</v>
      </c>
      <c r="AK31" s="130">
        <f>VLOOKUP($AJ$9,'Исх дан мат и усл'!$C$6:$E$3400,2,FALSE)*AJ31</f>
        <v>0</v>
      </c>
      <c r="AL31" s="130">
        <f>SUM(Бланк!AG66:AG68)</f>
        <v>0</v>
      </c>
      <c r="AM31" s="130">
        <f>VLOOKUP($AL$9,'Исх дан мат и усл'!$C$6:$E$3400,2,FALSE)*AL31</f>
        <v>0</v>
      </c>
      <c r="AN31" s="130">
        <f>Бланк!AE66+Бланк!AF66+Бланк!AF67</f>
        <v>0</v>
      </c>
      <c r="AO31" s="130">
        <f>VLOOKUP($AN$9,'Исх дан мат и усл'!$C$6:$E$3400,2,FALSE)*AN31</f>
        <v>0</v>
      </c>
      <c r="AP31" s="130">
        <f>Бланк!AH66+Бланк!AH67</f>
        <v>0</v>
      </c>
      <c r="AQ31" s="130">
        <f>VLOOKUP($AP$9,'Исх дан мат и усл'!$C$6:$E$3400,2,FALSE)*AP31</f>
        <v>0</v>
      </c>
      <c r="AR31" s="130">
        <f>Бланк!AI66</f>
        <v>0</v>
      </c>
      <c r="AS31" s="130">
        <f>VLOOKUP($AR$9,'Исх дан мат и усл'!$C$6:$E$3400,2,FALSE)*AR31</f>
        <v>0</v>
      </c>
      <c r="AT31" s="130">
        <f>Бланк!V66</f>
        <v>0</v>
      </c>
      <c r="AU31" s="130">
        <f>IF(T31&lt;0.5,'Исх дан мат и усл'!$D$26*AT31,IF(T31&lt;1,'Исх дан мат и усл'!$D$27*AT31,IF(T31&lt;2,'Исх дан мат и усл'!$D$28*AT31,'Исх дан мат и усл'!$D$29*AT31)))</f>
        <v>0</v>
      </c>
    </row>
    <row r="32" spans="1:56" s="19" customFormat="1" ht="32.25" customHeight="1" x14ac:dyDescent="0.25">
      <c r="A32" s="74" t="str">
        <f t="shared" si="1"/>
        <v/>
      </c>
      <c r="B32" s="31">
        <v>23</v>
      </c>
      <c r="C32" s="59"/>
      <c r="D32" s="57"/>
      <c r="E32" s="57"/>
      <c r="F32" s="57"/>
      <c r="G32" s="57"/>
      <c r="H32" s="15">
        <f t="shared" si="0"/>
        <v>0</v>
      </c>
      <c r="I32" s="60">
        <f t="shared" si="2"/>
        <v>0</v>
      </c>
      <c r="J32" s="33">
        <f t="shared" si="3"/>
        <v>0</v>
      </c>
      <c r="K32" s="306"/>
      <c r="L32" s="307"/>
      <c r="M32" s="97"/>
      <c r="N32" s="131">
        <f t="shared" si="4"/>
        <v>0</v>
      </c>
      <c r="O32" s="130">
        <f t="shared" si="5"/>
        <v>0</v>
      </c>
      <c r="P32" s="130">
        <f t="shared" si="6"/>
        <v>0</v>
      </c>
      <c r="Q32" s="125"/>
      <c r="R32" s="125"/>
      <c r="S32" s="125"/>
      <c r="T32" s="130">
        <f t="shared" si="7"/>
        <v>0</v>
      </c>
      <c r="U32" s="129">
        <f t="shared" si="8"/>
        <v>0</v>
      </c>
      <c r="V32" s="130">
        <f>Бланк!AP69*W6+Бланк!AP70*W6</f>
        <v>0</v>
      </c>
      <c r="W32" s="130">
        <f>VLOOKUP(U32,'Исх дан мат и усл'!$C$6:$I$3600,2,FALSE)*V32*$W$7</f>
        <v>0</v>
      </c>
      <c r="X32" s="130">
        <f>IF(Бланк!AD71="Стекло",0,(Бланк!AA71*Бланк!AB71)*Бланк!AC71*Y6)/1000000</f>
        <v>0</v>
      </c>
      <c r="Y32" s="130">
        <f>VLOOKUP(U32,'Исх дан мат и усл'!$C$6:$I$3600,4,FALSE)*X32*$Y$7</f>
        <v>0</v>
      </c>
      <c r="Z32" s="130">
        <f>IF(Бланк!AD71="Стекло",Бланк!AA71*Бланк!AB71*Бланк!AC71/1000000,0)</f>
        <v>0</v>
      </c>
      <c r="AA32" s="130">
        <f t="shared" si="9"/>
        <v>0</v>
      </c>
      <c r="AB32" s="130">
        <f t="shared" si="10"/>
        <v>0</v>
      </c>
      <c r="AC32" s="130">
        <f>VLOOKUP(U32,'Исх дан мат и усл'!$C$6:$I$3600,6,FALSE)*AB32*$AC$7</f>
        <v>0</v>
      </c>
      <c r="AD32" s="130">
        <f>Бланк!AI69/2</f>
        <v>0</v>
      </c>
      <c r="AE32" s="130">
        <f>VLOOKUP($AD$9,'Исх дан мат и усл'!$C$6:$E$3800,2,FALSE)*AD32</f>
        <v>0</v>
      </c>
      <c r="AF32" s="130">
        <f t="shared" si="11"/>
        <v>0</v>
      </c>
      <c r="AG32" s="130">
        <f>VLOOKUP($AF$9,'Исх дан мат и усл'!$C$6:$E$3800,2,FALSE)*$AG$6*AF32</f>
        <v>0</v>
      </c>
      <c r="AH32" s="130">
        <f t="shared" si="12"/>
        <v>0</v>
      </c>
      <c r="AI32" s="130">
        <f>VLOOKUP($AH$9,'Исх дан мат и усл'!$C$6:$E$3800,2,FALSE)*$AI$6*AH32</f>
        <v>0</v>
      </c>
      <c r="AJ32" s="130">
        <f t="shared" si="13"/>
        <v>0</v>
      </c>
      <c r="AK32" s="130">
        <f>VLOOKUP($AJ$9,'Исх дан мат и усл'!$C$6:$E$3400,2,FALSE)*AJ32</f>
        <v>0</v>
      </c>
      <c r="AL32" s="130">
        <f>SUM(Бланк!AG69:AG71)</f>
        <v>0</v>
      </c>
      <c r="AM32" s="130">
        <f>VLOOKUP($AL$9,'Исх дан мат и усл'!$C$6:$E$3400,2,FALSE)*AL32</f>
        <v>0</v>
      </c>
      <c r="AN32" s="130">
        <f>Бланк!AE69+Бланк!AF69+Бланк!AF70</f>
        <v>0</v>
      </c>
      <c r="AO32" s="130">
        <f>VLOOKUP($AN$9,'Исх дан мат и усл'!$C$6:$E$3400,2,FALSE)*AN32</f>
        <v>0</v>
      </c>
      <c r="AP32" s="130">
        <f>Бланк!AH69+Бланк!AH70</f>
        <v>0</v>
      </c>
      <c r="AQ32" s="130">
        <f>VLOOKUP($AP$9,'Исх дан мат и усл'!$C$6:$E$3400,2,FALSE)*AP32</f>
        <v>0</v>
      </c>
      <c r="AR32" s="130">
        <f>Бланк!AI69</f>
        <v>0</v>
      </c>
      <c r="AS32" s="130">
        <f>VLOOKUP($AR$9,'Исх дан мат и усл'!$C$6:$E$3400,2,FALSE)*AR32</f>
        <v>0</v>
      </c>
      <c r="AT32" s="130">
        <f>Бланк!V69</f>
        <v>0</v>
      </c>
      <c r="AU32" s="130">
        <f>IF(T32&lt;0.5,'Исх дан мат и усл'!$D$26*AT32,IF(T32&lt;1,'Исх дан мат и усл'!$D$27*AT32,IF(T32&lt;2,'Исх дан мат и усл'!$D$28*AT32,'Исх дан мат и усл'!$D$29*AT32)))</f>
        <v>0</v>
      </c>
    </row>
    <row r="33" spans="1:47" s="19" customFormat="1" ht="32.25" customHeight="1" x14ac:dyDescent="0.25">
      <c r="A33" s="74" t="str">
        <f t="shared" si="1"/>
        <v/>
      </c>
      <c r="B33" s="31">
        <v>24</v>
      </c>
      <c r="C33" s="59"/>
      <c r="D33" s="57"/>
      <c r="E33" s="57"/>
      <c r="F33" s="57"/>
      <c r="G33" s="57"/>
      <c r="H33" s="15">
        <f t="shared" si="0"/>
        <v>0</v>
      </c>
      <c r="I33" s="60">
        <f t="shared" si="2"/>
        <v>0</v>
      </c>
      <c r="J33" s="33">
        <f t="shared" si="3"/>
        <v>0</v>
      </c>
      <c r="K33" s="98"/>
      <c r="L33" s="103"/>
      <c r="M33" s="104"/>
      <c r="N33" s="131">
        <f t="shared" si="4"/>
        <v>0</v>
      </c>
      <c r="O33" s="130">
        <f t="shared" si="5"/>
        <v>0</v>
      </c>
      <c r="P33" s="130">
        <f t="shared" si="6"/>
        <v>0</v>
      </c>
      <c r="Q33" s="125"/>
      <c r="R33" s="125"/>
      <c r="S33" s="125"/>
      <c r="T33" s="130">
        <f t="shared" si="7"/>
        <v>0</v>
      </c>
      <c r="U33" s="129">
        <f t="shared" si="8"/>
        <v>0</v>
      </c>
      <c r="V33" s="130">
        <f>Бланк!AP72*W6+Бланк!AP73*W6</f>
        <v>0</v>
      </c>
      <c r="W33" s="130">
        <f>VLOOKUP(U33,'Исх дан мат и усл'!$C$6:$I$3600,2,FALSE)*V33*$W$7</f>
        <v>0</v>
      </c>
      <c r="X33" s="130">
        <f>IF(Бланк!AD74="Стекло",0,(Бланк!AA74*Бланк!AB74)*Бланк!AC74*Y6)/1000000</f>
        <v>0</v>
      </c>
      <c r="Y33" s="130">
        <f>VLOOKUP(U33,'Исх дан мат и усл'!$C$6:$I$3600,4,FALSE)*X33*$Y$7</f>
        <v>0</v>
      </c>
      <c r="Z33" s="130">
        <f>IF(Бланк!AD74="Стекло",Бланк!AA74*Бланк!AB74*Бланк!AC74/1000000,0)</f>
        <v>0</v>
      </c>
      <c r="AA33" s="130">
        <f t="shared" si="9"/>
        <v>0</v>
      </c>
      <c r="AB33" s="130">
        <f t="shared" si="10"/>
        <v>0</v>
      </c>
      <c r="AC33" s="130">
        <f>VLOOKUP(U33,'Исх дан мат и усл'!$C$6:$I$3600,6,FALSE)*AB33*$AC$7</f>
        <v>0</v>
      </c>
      <c r="AD33" s="130">
        <f>Бланк!AI72/2</f>
        <v>0</v>
      </c>
      <c r="AE33" s="130">
        <f>VLOOKUP($AD$9,'Исх дан мат и усл'!$C$6:$E$3800,2,FALSE)*AD33</f>
        <v>0</v>
      </c>
      <c r="AF33" s="130">
        <f t="shared" si="11"/>
        <v>0</v>
      </c>
      <c r="AG33" s="130">
        <f>VLOOKUP($AF$9,'Исх дан мат и усл'!$C$6:$E$3800,2,FALSE)*$AG$6*AF33</f>
        <v>0</v>
      </c>
      <c r="AH33" s="130">
        <f t="shared" si="12"/>
        <v>0</v>
      </c>
      <c r="AI33" s="130">
        <f>VLOOKUP($AH$9,'Исх дан мат и усл'!$C$6:$E$3800,2,FALSE)*$AI$6*AH33</f>
        <v>0</v>
      </c>
      <c r="AJ33" s="130">
        <f t="shared" si="13"/>
        <v>0</v>
      </c>
      <c r="AK33" s="130">
        <f>VLOOKUP($AJ$9,'Исх дан мат и усл'!$C$6:$E$3400,2,FALSE)*AJ33</f>
        <v>0</v>
      </c>
      <c r="AL33" s="130">
        <f>SUM(Бланк!AG72:AG74)</f>
        <v>0</v>
      </c>
      <c r="AM33" s="130">
        <f>VLOOKUP($AL$9,'Исх дан мат и усл'!$C$6:$E$3400,2,FALSE)*AL33</f>
        <v>0</v>
      </c>
      <c r="AN33" s="130">
        <f>Бланк!AE72+Бланк!AF72+Бланк!AF73</f>
        <v>0</v>
      </c>
      <c r="AO33" s="130">
        <f>VLOOKUP($AN$9,'Исх дан мат и усл'!$C$6:$E$3400,2,FALSE)*AN33</f>
        <v>0</v>
      </c>
      <c r="AP33" s="130">
        <f>Бланк!AH72+Бланк!AH73</f>
        <v>0</v>
      </c>
      <c r="AQ33" s="130">
        <f>VLOOKUP($AP$9,'Исх дан мат и усл'!$C$6:$E$3400,2,FALSE)*AP33</f>
        <v>0</v>
      </c>
      <c r="AR33" s="130">
        <f>Бланк!AI72</f>
        <v>0</v>
      </c>
      <c r="AS33" s="130">
        <f>VLOOKUP($AR$9,'Исх дан мат и усл'!$C$6:$E$3400,2,FALSE)*AR33</f>
        <v>0</v>
      </c>
      <c r="AT33" s="130">
        <f>Бланк!V72</f>
        <v>0</v>
      </c>
      <c r="AU33" s="130">
        <f>IF(T33&lt;0.5,'Исх дан мат и усл'!$D$26*AT33,IF(T33&lt;1,'Исх дан мат и усл'!$D$27*AT33,IF(T33&lt;2,'Исх дан мат и усл'!$D$28*AT33,'Исх дан мат и усл'!$D$29*AT33)))</f>
        <v>0</v>
      </c>
    </row>
    <row r="34" spans="1:47" s="19" customFormat="1" ht="32.25" customHeight="1" x14ac:dyDescent="0.25">
      <c r="A34" s="74" t="str">
        <f t="shared" si="1"/>
        <v/>
      </c>
      <c r="B34" s="31">
        <v>25</v>
      </c>
      <c r="C34" s="59"/>
      <c r="D34" s="57"/>
      <c r="E34" s="57"/>
      <c r="F34" s="57"/>
      <c r="G34" s="57"/>
      <c r="H34" s="15">
        <f t="shared" si="0"/>
        <v>0</v>
      </c>
      <c r="I34" s="60">
        <f t="shared" si="2"/>
        <v>0</v>
      </c>
      <c r="J34" s="33">
        <f t="shared" si="3"/>
        <v>0</v>
      </c>
      <c r="K34" s="98"/>
      <c r="L34" s="103"/>
      <c r="M34" s="104"/>
      <c r="N34" s="131">
        <f t="shared" si="4"/>
        <v>0</v>
      </c>
      <c r="O34" s="130">
        <f t="shared" si="5"/>
        <v>0</v>
      </c>
      <c r="P34" s="130">
        <f t="shared" si="6"/>
        <v>0</v>
      </c>
      <c r="Q34" s="125"/>
      <c r="R34" s="125"/>
      <c r="S34" s="125"/>
      <c r="T34" s="130">
        <f t="shared" si="7"/>
        <v>0</v>
      </c>
      <c r="U34" s="129">
        <f t="shared" si="8"/>
        <v>0</v>
      </c>
      <c r="V34" s="130">
        <f>Бланк!AP75*W6+Бланк!AP76*W6</f>
        <v>0</v>
      </c>
      <c r="W34" s="130">
        <f>VLOOKUP(U34,'Исх дан мат и усл'!$C$6:$I$3600,2,FALSE)*V34*$W$7</f>
        <v>0</v>
      </c>
      <c r="X34" s="130">
        <f>IF(Бланк!AD77="Стекло",0,(Бланк!AA77*Бланк!AB77)*Бланк!AC77*Y6)/1000000</f>
        <v>0</v>
      </c>
      <c r="Y34" s="130">
        <f>VLOOKUP(U34,'Исх дан мат и усл'!$C$6:$I$3600,4,FALSE)*X34*$Y$7</f>
        <v>0</v>
      </c>
      <c r="Z34" s="130">
        <f>IF(Бланк!AD77="Стекло",Бланк!AA77*Бланк!AB77*Бланк!AC77/1000000,0)</f>
        <v>0</v>
      </c>
      <c r="AA34" s="130">
        <f t="shared" si="9"/>
        <v>0</v>
      </c>
      <c r="AB34" s="130">
        <f t="shared" si="10"/>
        <v>0</v>
      </c>
      <c r="AC34" s="130">
        <f>VLOOKUP(U34,'Исх дан мат и усл'!$C$6:$I$3600,6,FALSE)*AB34*$AC$7</f>
        <v>0</v>
      </c>
      <c r="AD34" s="130">
        <f>Бланк!AI75/2</f>
        <v>0</v>
      </c>
      <c r="AE34" s="130">
        <f>VLOOKUP($AD$9,'Исх дан мат и усл'!$C$6:$E$3800,2,FALSE)*AD34</f>
        <v>0</v>
      </c>
      <c r="AF34" s="130">
        <f t="shared" si="11"/>
        <v>0</v>
      </c>
      <c r="AG34" s="130">
        <f>VLOOKUP($AF$9,'Исх дан мат и усл'!$C$6:$E$3800,2,FALSE)*$AG$6*AF34</f>
        <v>0</v>
      </c>
      <c r="AH34" s="130">
        <f t="shared" si="12"/>
        <v>0</v>
      </c>
      <c r="AI34" s="130">
        <f>VLOOKUP($AH$9,'Исх дан мат и усл'!$C$6:$E$3800,2,FALSE)*$AI$6*AH34</f>
        <v>0</v>
      </c>
      <c r="AJ34" s="130">
        <f t="shared" si="13"/>
        <v>0</v>
      </c>
      <c r="AK34" s="130">
        <f>VLOOKUP($AJ$9,'Исх дан мат и усл'!$C$6:$E$3400,2,FALSE)*AJ34</f>
        <v>0</v>
      </c>
      <c r="AL34" s="130">
        <f>SUM(Бланк!AG75:AG77)</f>
        <v>0</v>
      </c>
      <c r="AM34" s="130">
        <f>VLOOKUP($AL$9,'Исх дан мат и усл'!$C$6:$E$3400,2,FALSE)*AL34</f>
        <v>0</v>
      </c>
      <c r="AN34" s="130">
        <f>Бланк!AE75+Бланк!AF75+Бланк!AF76</f>
        <v>0</v>
      </c>
      <c r="AO34" s="130">
        <f>VLOOKUP($AN$9,'Исх дан мат и усл'!$C$6:$E$3400,2,FALSE)*AN34</f>
        <v>0</v>
      </c>
      <c r="AP34" s="130">
        <f>Бланк!AH75+Бланк!AH76</f>
        <v>0</v>
      </c>
      <c r="AQ34" s="130">
        <f>VLOOKUP($AP$9,'Исх дан мат и усл'!$C$6:$E$3400,2,FALSE)*AP34</f>
        <v>0</v>
      </c>
      <c r="AR34" s="130">
        <f>Бланк!AI75</f>
        <v>0</v>
      </c>
      <c r="AS34" s="130">
        <f>VLOOKUP($AR$9,'Исх дан мат и усл'!$C$6:$E$3400,2,FALSE)*AR34</f>
        <v>0</v>
      </c>
      <c r="AT34" s="130">
        <f>Бланк!V75</f>
        <v>0</v>
      </c>
      <c r="AU34" s="130">
        <f>IF(T34&lt;0.5,'Исх дан мат и усл'!$D$26*AT34,IF(T34&lt;1,'Исх дан мат и усл'!$D$27*AT34,IF(T34&lt;2,'Исх дан мат и усл'!$D$28*AT34,'Исх дан мат и усл'!$D$29*AT34)))</f>
        <v>0</v>
      </c>
    </row>
    <row r="35" spans="1:47" s="19" customFormat="1" ht="32.25" customHeight="1" x14ac:dyDescent="0.25">
      <c r="A35" s="74" t="str">
        <f t="shared" si="1"/>
        <v/>
      </c>
      <c r="B35" s="31">
        <v>26</v>
      </c>
      <c r="C35" s="59"/>
      <c r="D35" s="57"/>
      <c r="E35" s="57"/>
      <c r="F35" s="57"/>
      <c r="G35" s="57"/>
      <c r="H35" s="15">
        <f t="shared" si="0"/>
        <v>0</v>
      </c>
      <c r="I35" s="60">
        <f t="shared" si="2"/>
        <v>0</v>
      </c>
      <c r="J35" s="33">
        <f t="shared" si="3"/>
        <v>0</v>
      </c>
      <c r="K35" s="98"/>
      <c r="L35" s="103"/>
      <c r="M35" s="104"/>
      <c r="N35" s="131">
        <f t="shared" si="4"/>
        <v>0</v>
      </c>
      <c r="O35" s="130">
        <f t="shared" si="5"/>
        <v>0</v>
      </c>
      <c r="P35" s="130">
        <f t="shared" si="6"/>
        <v>0</v>
      </c>
      <c r="Q35" s="125"/>
      <c r="R35" s="125"/>
      <c r="S35" s="125"/>
      <c r="T35" s="130">
        <f t="shared" si="7"/>
        <v>0</v>
      </c>
      <c r="U35" s="129">
        <f t="shared" si="8"/>
        <v>0</v>
      </c>
      <c r="V35" s="130">
        <f>Бланк!AP78*W6+Бланк!AP79*W6</f>
        <v>0</v>
      </c>
      <c r="W35" s="130">
        <f>VLOOKUP(U35,'Исх дан мат и усл'!$C$6:$I$3600,2,FALSE)*V35*$W$7</f>
        <v>0</v>
      </c>
      <c r="X35" s="130">
        <f>IF(Бланк!AD80="Стекло",0,(Бланк!AA80*Бланк!AB80)*Бланк!AC80*Y6)/1000000</f>
        <v>0</v>
      </c>
      <c r="Y35" s="130">
        <f>VLOOKUP(U35,'Исх дан мат и усл'!$C$6:$I$3600,4,FALSE)*X35*$Y$7</f>
        <v>0</v>
      </c>
      <c r="Z35" s="130">
        <f>IF(Бланк!AD80="Стекло",Бланк!AA80*Бланк!AB80*Бланк!AC80/1000000,0)</f>
        <v>0</v>
      </c>
      <c r="AA35" s="130">
        <f t="shared" si="9"/>
        <v>0</v>
      </c>
      <c r="AB35" s="130">
        <f t="shared" si="10"/>
        <v>0</v>
      </c>
      <c r="AC35" s="130">
        <f>VLOOKUP(U35,'Исх дан мат и усл'!$C$6:$I$3600,6,FALSE)*AB35*$AC$7</f>
        <v>0</v>
      </c>
      <c r="AD35" s="130">
        <f>Бланк!AI78/2</f>
        <v>0</v>
      </c>
      <c r="AE35" s="130">
        <f>VLOOKUP($AD$9,'Исх дан мат и усл'!$C$6:$E$3800,2,FALSE)*AD35</f>
        <v>0</v>
      </c>
      <c r="AF35" s="130">
        <f t="shared" si="11"/>
        <v>0</v>
      </c>
      <c r="AG35" s="130">
        <f>VLOOKUP($AF$9,'Исх дан мат и усл'!$C$6:$E$3800,2,FALSE)*$AG$6*AF35</f>
        <v>0</v>
      </c>
      <c r="AH35" s="130">
        <f t="shared" si="12"/>
        <v>0</v>
      </c>
      <c r="AI35" s="130">
        <f>VLOOKUP($AH$9,'Исх дан мат и усл'!$C$6:$E$3800,2,FALSE)*$AI$6*AH35</f>
        <v>0</v>
      </c>
      <c r="AJ35" s="130">
        <f t="shared" si="13"/>
        <v>0</v>
      </c>
      <c r="AK35" s="130">
        <f>VLOOKUP($AJ$9,'Исх дан мат и усл'!$C$6:$E$3400,2,FALSE)*AJ35</f>
        <v>0</v>
      </c>
      <c r="AL35" s="130">
        <f>SUM(Бланк!AG78:AG80)</f>
        <v>0</v>
      </c>
      <c r="AM35" s="130">
        <f>VLOOKUP($AL$9,'Исх дан мат и усл'!$C$6:$E$3400,2,FALSE)*AL35</f>
        <v>0</v>
      </c>
      <c r="AN35" s="130">
        <f>Бланк!AE78+Бланк!AF78+Бланк!AF79</f>
        <v>0</v>
      </c>
      <c r="AO35" s="130">
        <f>VLOOKUP($AN$9,'Исх дан мат и усл'!$C$6:$E$3400,2,FALSE)*AN35</f>
        <v>0</v>
      </c>
      <c r="AP35" s="130">
        <f>Бланк!AH78+Бланк!AH79</f>
        <v>0</v>
      </c>
      <c r="AQ35" s="130">
        <f>VLOOKUP($AP$9,'Исх дан мат и усл'!$C$6:$E$3400,2,FALSE)*AP35</f>
        <v>0</v>
      </c>
      <c r="AR35" s="130">
        <f>Бланк!AI78</f>
        <v>0</v>
      </c>
      <c r="AS35" s="130">
        <f>VLOOKUP($AR$9,'Исх дан мат и усл'!$C$6:$E$3400,2,FALSE)*AR35</f>
        <v>0</v>
      </c>
      <c r="AT35" s="130">
        <f>Бланк!V78</f>
        <v>0</v>
      </c>
      <c r="AU35" s="130">
        <f>IF(T35&lt;0.5,'Исх дан мат и усл'!$D$26*AT35,IF(T35&lt;1,'Исх дан мат и усл'!$D$27*AT35,IF(T35&lt;2,'Исх дан мат и усл'!$D$28*AT35,'Исх дан мат и усл'!$D$29*AT35)))</f>
        <v>0</v>
      </c>
    </row>
    <row r="36" spans="1:47" s="19" customFormat="1" ht="32.25" customHeight="1" x14ac:dyDescent="0.25">
      <c r="A36" s="74" t="str">
        <f t="shared" si="1"/>
        <v/>
      </c>
      <c r="B36" s="31">
        <v>27</v>
      </c>
      <c r="C36" s="59"/>
      <c r="D36" s="57"/>
      <c r="E36" s="57"/>
      <c r="F36" s="57"/>
      <c r="G36" s="57"/>
      <c r="H36" s="15">
        <f t="shared" si="0"/>
        <v>0</v>
      </c>
      <c r="I36" s="60">
        <f t="shared" si="2"/>
        <v>0</v>
      </c>
      <c r="J36" s="33">
        <f t="shared" si="3"/>
        <v>0</v>
      </c>
      <c r="K36" s="98"/>
      <c r="L36" s="103"/>
      <c r="M36" s="104"/>
      <c r="N36" s="131">
        <f t="shared" si="4"/>
        <v>0</v>
      </c>
      <c r="O36" s="130">
        <f t="shared" si="5"/>
        <v>0</v>
      </c>
      <c r="P36" s="130">
        <f t="shared" si="6"/>
        <v>0</v>
      </c>
      <c r="Q36" s="125"/>
      <c r="R36" s="125"/>
      <c r="S36" s="125"/>
      <c r="T36" s="130">
        <f t="shared" si="7"/>
        <v>0</v>
      </c>
      <c r="U36" s="129">
        <f t="shared" si="8"/>
        <v>0</v>
      </c>
      <c r="V36" s="130">
        <f>Бланк!AP81*W6+Бланк!AP82*W6</f>
        <v>0</v>
      </c>
      <c r="W36" s="130">
        <f>VLOOKUP(U36,'Исх дан мат и усл'!$C$6:$I$3600,2,FALSE)*V36*$W$7</f>
        <v>0</v>
      </c>
      <c r="X36" s="130">
        <f>IF(Бланк!AD83="Стекло",0,(Бланк!AA83*Бланк!AB83)*Бланк!AC83*Y6)/1000000</f>
        <v>0</v>
      </c>
      <c r="Y36" s="130">
        <f>VLOOKUP(U36,'Исх дан мат и усл'!$C$6:$I$3600,4,FALSE)*X36*$Y$7</f>
        <v>0</v>
      </c>
      <c r="Z36" s="130">
        <f>IF(Бланк!AD83="Стекло",Бланк!AA83*Бланк!AB83*Бланк!AC83/1000000,0)</f>
        <v>0</v>
      </c>
      <c r="AA36" s="130">
        <f t="shared" si="9"/>
        <v>0</v>
      </c>
      <c r="AB36" s="130">
        <f t="shared" si="10"/>
        <v>0</v>
      </c>
      <c r="AC36" s="130">
        <f>VLOOKUP(U36,'Исх дан мат и усл'!$C$6:$I$3600,6,FALSE)*AB36*$AC$7</f>
        <v>0</v>
      </c>
      <c r="AD36" s="130">
        <f>Бланк!AI81/2</f>
        <v>0</v>
      </c>
      <c r="AE36" s="130">
        <f>VLOOKUP($AD$9,'Исх дан мат и усл'!$C$6:$E$3800,2,FALSE)*AD36</f>
        <v>0</v>
      </c>
      <c r="AF36" s="130">
        <f t="shared" si="11"/>
        <v>0</v>
      </c>
      <c r="AG36" s="130">
        <f>VLOOKUP($AF$9,'Исх дан мат и усл'!$C$6:$E$3800,2,FALSE)*$AG$6*AF36</f>
        <v>0</v>
      </c>
      <c r="AH36" s="130">
        <f t="shared" si="12"/>
        <v>0</v>
      </c>
      <c r="AI36" s="130">
        <f>VLOOKUP($AH$9,'Исх дан мат и усл'!$C$6:$E$3800,2,FALSE)*$AI$6*AH36</f>
        <v>0</v>
      </c>
      <c r="AJ36" s="130">
        <f t="shared" si="13"/>
        <v>0</v>
      </c>
      <c r="AK36" s="130">
        <f>VLOOKUP($AJ$9,'Исх дан мат и усл'!$C$6:$E$3400,2,FALSE)*AJ36</f>
        <v>0</v>
      </c>
      <c r="AL36" s="130">
        <f>SUM(Бланк!AG81:AG83)</f>
        <v>0</v>
      </c>
      <c r="AM36" s="130">
        <f>VLOOKUP($AL$9,'Исх дан мат и усл'!$C$6:$E$3400,2,FALSE)*AL36</f>
        <v>0</v>
      </c>
      <c r="AN36" s="130">
        <f>Бланк!AE81+Бланк!AF81+Бланк!AF82</f>
        <v>0</v>
      </c>
      <c r="AO36" s="130">
        <f>VLOOKUP($AN$9,'Исх дан мат и усл'!$C$6:$E$3400,2,FALSE)*AN36</f>
        <v>0</v>
      </c>
      <c r="AP36" s="130">
        <f>Бланк!AH81+Бланк!AH82</f>
        <v>0</v>
      </c>
      <c r="AQ36" s="130">
        <f>VLOOKUP($AP$9,'Исх дан мат и усл'!$C$6:$E$3400,2,FALSE)*AP36</f>
        <v>0</v>
      </c>
      <c r="AR36" s="130">
        <f>Бланк!AI81</f>
        <v>0</v>
      </c>
      <c r="AS36" s="130">
        <f>VLOOKUP($AR$9,'Исх дан мат и усл'!$C$6:$E$3400,2,FALSE)*AR36</f>
        <v>0</v>
      </c>
      <c r="AT36" s="130">
        <f>Бланк!V81</f>
        <v>0</v>
      </c>
      <c r="AU36" s="130">
        <f>IF(T36&lt;0.5,'Исх дан мат и усл'!$D$26*AT36,IF(T36&lt;1,'Исх дан мат и усл'!$D$27*AT36,IF(T36&lt;2,'Исх дан мат и усл'!$D$28*AT36,'Исх дан мат и усл'!$D$29*AT36)))</f>
        <v>0</v>
      </c>
    </row>
    <row r="37" spans="1:47" s="19" customFormat="1" ht="32.25" customHeight="1" x14ac:dyDescent="0.25">
      <c r="A37" s="74" t="str">
        <f t="shared" si="1"/>
        <v/>
      </c>
      <c r="B37" s="31">
        <v>28</v>
      </c>
      <c r="C37" s="59"/>
      <c r="D37" s="57"/>
      <c r="E37" s="57"/>
      <c r="F37" s="57"/>
      <c r="G37" s="57"/>
      <c r="H37" s="15">
        <f t="shared" si="0"/>
        <v>0</v>
      </c>
      <c r="I37" s="15">
        <f t="shared" si="2"/>
        <v>0</v>
      </c>
      <c r="J37" s="33">
        <f t="shared" si="3"/>
        <v>0</v>
      </c>
      <c r="K37" s="98"/>
      <c r="L37" s="103"/>
      <c r="M37" s="104"/>
      <c r="N37" s="131">
        <f t="shared" si="4"/>
        <v>0</v>
      </c>
      <c r="O37" s="130">
        <f t="shared" si="5"/>
        <v>0</v>
      </c>
      <c r="P37" s="130">
        <f t="shared" si="6"/>
        <v>0</v>
      </c>
      <c r="Q37" s="125"/>
      <c r="R37" s="125"/>
      <c r="S37" s="125"/>
      <c r="T37" s="130">
        <f t="shared" si="7"/>
        <v>0</v>
      </c>
      <c r="U37" s="129">
        <f t="shared" si="8"/>
        <v>0</v>
      </c>
      <c r="V37" s="130">
        <f>Бланк!AP84*W6+Бланк!AP85*W6</f>
        <v>0</v>
      </c>
      <c r="W37" s="130">
        <f>VLOOKUP(U37,'Исх дан мат и усл'!$C$6:$I$3600,2,FALSE)*V37*$W$7</f>
        <v>0</v>
      </c>
      <c r="X37" s="130">
        <f>IF(Бланк!AD86="Стекло",0,(Бланк!AA86*Бланк!AB86)*Бланк!AC86*Y6)/1000000</f>
        <v>0</v>
      </c>
      <c r="Y37" s="130">
        <f>VLOOKUP(U37,'Исх дан мат и усл'!$C$6:$I$3600,4,FALSE)*X37*$Y$7</f>
        <v>0</v>
      </c>
      <c r="Z37" s="130">
        <f>IF(Бланк!AD86="Стекло",Бланк!AA86*Бланк!AB86*Бланк!AC86/1000000,0)</f>
        <v>0</v>
      </c>
      <c r="AA37" s="130">
        <f t="shared" si="9"/>
        <v>0</v>
      </c>
      <c r="AB37" s="130">
        <f t="shared" si="10"/>
        <v>0</v>
      </c>
      <c r="AC37" s="130">
        <f>VLOOKUP(U37,'Исх дан мат и усл'!$C$6:$I$3600,6,FALSE)*AB37*$AC$7</f>
        <v>0</v>
      </c>
      <c r="AD37" s="130">
        <f>Бланк!AI84/2</f>
        <v>0</v>
      </c>
      <c r="AE37" s="130">
        <f>VLOOKUP($AD$9,'Исх дан мат и усл'!$C$6:$E$3800,2,FALSE)*AD37</f>
        <v>0</v>
      </c>
      <c r="AF37" s="130">
        <f t="shared" si="11"/>
        <v>0</v>
      </c>
      <c r="AG37" s="130">
        <f>VLOOKUP($AF$9,'Исх дан мат и усл'!$C$6:$E$3800,2,FALSE)*$AG$6*AF37</f>
        <v>0</v>
      </c>
      <c r="AH37" s="130">
        <f t="shared" si="12"/>
        <v>0</v>
      </c>
      <c r="AI37" s="130">
        <f>VLOOKUP($AH$9,'Исх дан мат и усл'!$C$6:$E$3800,2,FALSE)*$AI$6*AH37</f>
        <v>0</v>
      </c>
      <c r="AJ37" s="130">
        <f t="shared" si="13"/>
        <v>0</v>
      </c>
      <c r="AK37" s="130">
        <f>VLOOKUP($AJ$9,'Исх дан мат и усл'!$C$6:$E$3400,2,FALSE)*AJ37</f>
        <v>0</v>
      </c>
      <c r="AL37" s="130">
        <f>SUM(Бланк!AG84:AG86)</f>
        <v>0</v>
      </c>
      <c r="AM37" s="130">
        <f>VLOOKUP($AL$9,'Исх дан мат и усл'!$C$6:$E$3400,2,FALSE)*AL37</f>
        <v>0</v>
      </c>
      <c r="AN37" s="130">
        <f>Бланк!AE84+Бланк!AF84+Бланк!AF85</f>
        <v>0</v>
      </c>
      <c r="AO37" s="130">
        <f>VLOOKUP($AN$9,'Исх дан мат и усл'!$C$6:$E$3400,2,FALSE)*AN37</f>
        <v>0</v>
      </c>
      <c r="AP37" s="130">
        <f>Бланк!AH84+Бланк!AH85</f>
        <v>0</v>
      </c>
      <c r="AQ37" s="130">
        <f>VLOOKUP($AP$9,'Исх дан мат и усл'!$C$6:$E$3400,2,FALSE)*AP37</f>
        <v>0</v>
      </c>
      <c r="AR37" s="130">
        <f>Бланк!AI84</f>
        <v>0</v>
      </c>
      <c r="AS37" s="130">
        <f>VLOOKUP($AR$9,'Исх дан мат и усл'!$C$6:$E$3400,2,FALSE)*AR37</f>
        <v>0</v>
      </c>
      <c r="AT37" s="130">
        <f>Бланк!V84</f>
        <v>0</v>
      </c>
      <c r="AU37" s="130">
        <f>IF(T37&lt;0.5,'Исх дан мат и усл'!$D$26*AT37,IF(T37&lt;1,'Исх дан мат и усл'!$D$27*AT37,IF(T37&lt;2,'Исх дан мат и усл'!$D$28*AT37,'Исх дан мат и усл'!$D$29*AT37)))</f>
        <v>0</v>
      </c>
    </row>
    <row r="38" spans="1:47" s="19" customFormat="1" ht="32.25" customHeight="1" x14ac:dyDescent="0.25">
      <c r="A38" s="74" t="str">
        <f t="shared" si="1"/>
        <v/>
      </c>
      <c r="B38" s="4"/>
      <c r="C38" s="6"/>
      <c r="D38" s="7"/>
      <c r="E38" s="7"/>
      <c r="F38" s="7"/>
      <c r="G38" s="7"/>
      <c r="H38" s="32"/>
      <c r="I38" s="32"/>
      <c r="J38" s="95"/>
      <c r="K38" s="98"/>
      <c r="L38" s="105"/>
      <c r="M38" s="106"/>
      <c r="N38" s="131">
        <f t="shared" si="4"/>
        <v>0</v>
      </c>
      <c r="O38" s="130">
        <f t="shared" si="5"/>
        <v>0</v>
      </c>
      <c r="P38" s="130">
        <f t="shared" si="6"/>
        <v>0</v>
      </c>
      <c r="Q38" s="125"/>
      <c r="R38" s="125"/>
      <c r="S38" s="125"/>
      <c r="T38" s="130">
        <f t="shared" si="7"/>
        <v>0</v>
      </c>
      <c r="U38" s="129">
        <f t="shared" si="8"/>
        <v>0</v>
      </c>
      <c r="V38" s="130">
        <f>Бланк!AP87*W6+Бланк!AP88*W6</f>
        <v>0</v>
      </c>
      <c r="W38" s="130">
        <f>VLOOKUP(U38,'Исх дан мат и усл'!$C$6:$I$3600,2,FALSE)*V38*$W$7</f>
        <v>0</v>
      </c>
      <c r="X38" s="130">
        <f>IF(Бланк!AD89="Стекло",0,(Бланк!AA89*Бланк!AB89)*Бланк!AC89*Y6)/1000000</f>
        <v>0</v>
      </c>
      <c r="Y38" s="130">
        <f>VLOOKUP(U38,'Исх дан мат и усл'!$C$6:$I$3600,4,FALSE)*X38*$Y$7</f>
        <v>0</v>
      </c>
      <c r="Z38" s="130">
        <f>IF(Бланк!AD89="Стекло",Бланк!AA89*Бланк!AB89*Бланк!AC89/1000000,0)</f>
        <v>0</v>
      </c>
      <c r="AA38" s="130">
        <f t="shared" si="9"/>
        <v>0</v>
      </c>
      <c r="AB38" s="130">
        <f t="shared" si="10"/>
        <v>0</v>
      </c>
      <c r="AC38" s="130">
        <f>VLOOKUP(U38,'Исх дан мат и усл'!$C$6:$I$3600,6,FALSE)*AB38*$AC$7</f>
        <v>0</v>
      </c>
      <c r="AD38" s="130">
        <f>Бланк!AI87/2</f>
        <v>0</v>
      </c>
      <c r="AE38" s="130">
        <f>VLOOKUP($AD$9,'Исх дан мат и усл'!$C$6:$E$3800,2,FALSE)*AD38</f>
        <v>0</v>
      </c>
      <c r="AF38" s="130">
        <f t="shared" si="11"/>
        <v>0</v>
      </c>
      <c r="AG38" s="130">
        <f>VLOOKUP($AF$9,'Исх дан мат и усл'!$C$6:$E$3800,2,FALSE)*$AG$6*AF38</f>
        <v>0</v>
      </c>
      <c r="AH38" s="130">
        <f t="shared" si="12"/>
        <v>0</v>
      </c>
      <c r="AI38" s="130">
        <f>VLOOKUP($AH$9,'Исх дан мат и усл'!$C$6:$E$3800,2,FALSE)*$AI$6*AH38</f>
        <v>0</v>
      </c>
      <c r="AJ38" s="130">
        <f t="shared" si="13"/>
        <v>0</v>
      </c>
      <c r="AK38" s="130">
        <f>VLOOKUP($AJ$9,'Исх дан мат и усл'!$C$6:$E$3400,2,FALSE)*AJ38</f>
        <v>0</v>
      </c>
      <c r="AL38" s="130">
        <f>SUM(Бланк!AG87:AG89)</f>
        <v>0</v>
      </c>
      <c r="AM38" s="130">
        <f>VLOOKUP($AL$9,'Исх дан мат и усл'!$C$6:$E$3400,2,FALSE)*AL38</f>
        <v>0</v>
      </c>
      <c r="AN38" s="130">
        <f>Бланк!AE87+Бланк!AF87+Бланк!AF38</f>
        <v>0</v>
      </c>
      <c r="AO38" s="130">
        <f>VLOOKUP($AN$9,'Исх дан мат и усл'!$C$6:$E$3400,2,FALSE)*AN38</f>
        <v>0</v>
      </c>
      <c r="AP38" s="130">
        <f>Бланк!AH87+Бланк!AH88</f>
        <v>0</v>
      </c>
      <c r="AQ38" s="130">
        <f>VLOOKUP($AP$9,'Исх дан мат и усл'!$C$6:$E$3400,2,FALSE)*AP38</f>
        <v>0</v>
      </c>
      <c r="AR38" s="130">
        <f>Бланк!AI87</f>
        <v>0</v>
      </c>
      <c r="AS38" s="130">
        <f>VLOOKUP($AR$9,'Исх дан мат и усл'!$C$6:$E$3400,2,FALSE)*AR38</f>
        <v>0</v>
      </c>
      <c r="AT38" s="130">
        <f>Бланк!V87</f>
        <v>0</v>
      </c>
      <c r="AU38" s="130">
        <f>IF(T38&lt;0.5,'Исх дан мат и усл'!$D$26*AT38,IF(T38&lt;1,'Исх дан мат и усл'!$D$27*AT38,IF(T38&lt;2,'Исх дан мат и усл'!$D$28*AT38,'Исх дан мат и усл'!$D$29*AT38)))</f>
        <v>0</v>
      </c>
    </row>
    <row r="39" spans="1:47" s="19" customFormat="1" ht="32.25" customHeight="1" x14ac:dyDescent="0.25">
      <c r="A39" s="74" t="str">
        <f>CONCATENATE(C39,G39)</f>
        <v/>
      </c>
      <c r="B39" s="4"/>
      <c r="C39" s="6"/>
      <c r="D39" s="7"/>
      <c r="E39" s="7"/>
      <c r="F39" s="7"/>
      <c r="G39" s="7"/>
      <c r="H39" s="32"/>
      <c r="I39" s="32"/>
      <c r="J39" s="95"/>
      <c r="K39" s="297"/>
      <c r="L39" s="298"/>
      <c r="M39" s="104"/>
      <c r="N39" s="131">
        <f t="shared" si="4"/>
        <v>0</v>
      </c>
      <c r="O39" s="130">
        <f t="shared" si="5"/>
        <v>0</v>
      </c>
      <c r="P39" s="130">
        <f t="shared" si="6"/>
        <v>0</v>
      </c>
      <c r="Q39" s="125"/>
      <c r="R39" s="125"/>
      <c r="S39" s="125"/>
      <c r="T39" s="130">
        <f>D39*E39/1000000</f>
        <v>0</v>
      </c>
      <c r="U39" s="129">
        <f>G39</f>
        <v>0</v>
      </c>
      <c r="V39" s="130">
        <f>Бланк!AP90*W6+Бланк!AP91*W6</f>
        <v>0</v>
      </c>
      <c r="W39" s="130">
        <f>VLOOKUP(U39,'Исх дан мат и усл'!$C$6:$I$3600,2,FALSE)*V39*$W$7</f>
        <v>0</v>
      </c>
      <c r="X39" s="130">
        <f>IF(Бланк!AD92="Стекло",0,(Бланк!AA92*Бланк!AB92)*Бланк!AC92*Y6)/1000000</f>
        <v>0</v>
      </c>
      <c r="Y39" s="130">
        <f>VLOOKUP(U39,'Исх дан мат и усл'!$C$6:$I$3600,4,FALSE)*X39*$Y$7</f>
        <v>0</v>
      </c>
      <c r="Z39" s="130">
        <f>IF(Бланк!AD92="Стекло",Бланк!AA92*Бланк!AB92*Бланк!AC92/1000000,0)</f>
        <v>0</v>
      </c>
      <c r="AA39" s="130">
        <f t="shared" si="9"/>
        <v>0</v>
      </c>
      <c r="AB39" s="130">
        <f t="shared" si="10"/>
        <v>0</v>
      </c>
      <c r="AC39" s="130">
        <f>VLOOKUP(U39,'Исх дан мат и усл'!$C$6:$I$3600,6,FALSE)*AB39*$AC$7</f>
        <v>0</v>
      </c>
      <c r="AD39" s="130">
        <f>Бланк!AI90/2</f>
        <v>0</v>
      </c>
      <c r="AE39" s="130">
        <f>VLOOKUP($AD$9,'Исх дан мат и усл'!$C$6:$E$3800,2,FALSE)*AD39</f>
        <v>0</v>
      </c>
      <c r="AF39" s="130">
        <f>F39*4</f>
        <v>0</v>
      </c>
      <c r="AG39" s="130">
        <f>VLOOKUP($AF$9,'Исх дан мат и усл'!$C$6:$E$3800,2,FALSE)*$AG$6*AF39</f>
        <v>0</v>
      </c>
      <c r="AH39" s="130">
        <f>(D39*E39)*5/1000000</f>
        <v>0</v>
      </c>
      <c r="AI39" s="130">
        <f>VLOOKUP($AH$9,'Исх дан мат и усл'!$C$6:$E$3800,2,FALSE)*$AI$6*AH39</f>
        <v>0</v>
      </c>
      <c r="AJ39" s="130">
        <f t="shared" si="13"/>
        <v>0</v>
      </c>
      <c r="AK39" s="130">
        <f>VLOOKUP($AJ$9,'Исх дан мат и усл'!$C$6:$E$3400,2,FALSE)*AJ39</f>
        <v>0</v>
      </c>
      <c r="AL39" s="130">
        <f>SUM(Бланк!AG90:AG92)</f>
        <v>0</v>
      </c>
      <c r="AM39" s="130">
        <f>VLOOKUP($AL$9,'Исх дан мат и усл'!$C$6:$E$3400,2,FALSE)*AL39</f>
        <v>0</v>
      </c>
      <c r="AN39" s="130">
        <f>Бланк!AE90+Бланк!AF90+Бланк!AF91</f>
        <v>0</v>
      </c>
      <c r="AO39" s="130">
        <f>VLOOKUP($AN$9,'Исх дан мат и усл'!$C$6:$E$3400,2,FALSE)*AN39</f>
        <v>0</v>
      </c>
      <c r="AP39" s="130">
        <f>Бланк!AH90+Бланк!AH91</f>
        <v>0</v>
      </c>
      <c r="AQ39" s="130">
        <f>VLOOKUP($AP$9,'Исх дан мат и усл'!$C$6:$E$3400,2,FALSE)*AP39</f>
        <v>0</v>
      </c>
      <c r="AR39" s="130">
        <f>Бланк!AI90</f>
        <v>0</v>
      </c>
      <c r="AS39" s="130">
        <f>VLOOKUP($AR$9,'Исх дан мат и усл'!$C$6:$E$3400,2,FALSE)*AR39</f>
        <v>0</v>
      </c>
      <c r="AT39" s="130">
        <f>Бланк!V90</f>
        <v>0</v>
      </c>
      <c r="AU39" s="130">
        <f>IF(T39&lt;0.5,'Исх дан мат и усл'!$D$26*AT39,IF(T39&lt;1,'Исх дан мат и усл'!$D$27*AT39,IF(T39&lt;2,'Исх дан мат и усл'!$D$28*AT39,'Исх дан мат и усл'!$D$29*AT39)))</f>
        <v>0</v>
      </c>
    </row>
    <row r="40" spans="1:47" s="19" customFormat="1" ht="20.100000000000001" customHeight="1" x14ac:dyDescent="0.25">
      <c r="A40" s="74"/>
      <c r="B40" s="4"/>
      <c r="C40" s="6"/>
      <c r="D40" s="5"/>
      <c r="E40" s="5"/>
      <c r="F40" s="5"/>
      <c r="G40" s="5"/>
      <c r="H40" s="8"/>
      <c r="I40" s="8"/>
      <c r="J40" s="7"/>
      <c r="K40" s="7"/>
      <c r="L40" s="7"/>
      <c r="N40" s="125"/>
      <c r="O40" s="125"/>
      <c r="P40" s="125"/>
      <c r="Q40" s="125"/>
      <c r="R40" s="125"/>
      <c r="S40" s="125"/>
      <c r="T40" s="125"/>
      <c r="U40" s="129"/>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row>
    <row r="41" spans="1:47" ht="39" customHeight="1" x14ac:dyDescent="0.25">
      <c r="B41" s="5"/>
      <c r="C41" s="302" t="s">
        <v>79</v>
      </c>
      <c r="D41" s="302"/>
      <c r="E41" s="302"/>
      <c r="F41" s="302"/>
      <c r="G41" s="302"/>
      <c r="H41" s="302"/>
      <c r="I41" s="302"/>
      <c r="J41" s="5"/>
      <c r="K41" s="5"/>
      <c r="L41" s="5"/>
      <c r="N41" s="133"/>
      <c r="O41" s="133"/>
      <c r="P41" s="133"/>
      <c r="Q41" s="133"/>
      <c r="R41" s="133"/>
      <c r="S41" s="133"/>
      <c r="T41" s="133"/>
      <c r="U41" s="136"/>
      <c r="V41" s="132">
        <f t="shared" ref="V41:AU41" si="15">SUM(V10:V40)</f>
        <v>0</v>
      </c>
      <c r="W41" s="132">
        <f t="shared" si="15"/>
        <v>0</v>
      </c>
      <c r="X41" s="132">
        <f t="shared" si="15"/>
        <v>0</v>
      </c>
      <c r="Y41" s="132">
        <f t="shared" si="15"/>
        <v>0</v>
      </c>
      <c r="Z41" s="132">
        <f t="shared" si="15"/>
        <v>0</v>
      </c>
      <c r="AA41" s="132">
        <f t="shared" si="15"/>
        <v>0</v>
      </c>
      <c r="AB41" s="132">
        <f t="shared" si="15"/>
        <v>0</v>
      </c>
      <c r="AC41" s="132">
        <f t="shared" si="15"/>
        <v>0</v>
      </c>
      <c r="AD41" s="132">
        <f t="shared" si="15"/>
        <v>0</v>
      </c>
      <c r="AE41" s="132">
        <f t="shared" si="15"/>
        <v>0</v>
      </c>
      <c r="AF41" s="132">
        <f t="shared" si="15"/>
        <v>0</v>
      </c>
      <c r="AG41" s="132">
        <f t="shared" si="15"/>
        <v>0</v>
      </c>
      <c r="AH41" s="132">
        <f t="shared" si="15"/>
        <v>0</v>
      </c>
      <c r="AI41" s="132">
        <f t="shared" si="15"/>
        <v>0</v>
      </c>
      <c r="AJ41" s="132">
        <f t="shared" si="15"/>
        <v>0</v>
      </c>
      <c r="AK41" s="132">
        <f t="shared" si="15"/>
        <v>0</v>
      </c>
      <c r="AL41" s="132">
        <f t="shared" si="15"/>
        <v>0</v>
      </c>
      <c r="AM41" s="132">
        <f t="shared" si="15"/>
        <v>0</v>
      </c>
      <c r="AN41" s="132">
        <f t="shared" si="15"/>
        <v>0</v>
      </c>
      <c r="AO41" s="132">
        <f t="shared" si="15"/>
        <v>0</v>
      </c>
      <c r="AP41" s="132">
        <f t="shared" si="15"/>
        <v>0</v>
      </c>
      <c r="AQ41" s="132">
        <f t="shared" si="15"/>
        <v>0</v>
      </c>
      <c r="AR41" s="132">
        <f t="shared" si="15"/>
        <v>0</v>
      </c>
      <c r="AS41" s="132">
        <f t="shared" si="15"/>
        <v>0</v>
      </c>
      <c r="AT41" s="132">
        <f t="shared" si="15"/>
        <v>0</v>
      </c>
      <c r="AU41" s="132">
        <f t="shared" si="15"/>
        <v>0</v>
      </c>
    </row>
    <row r="42" spans="1:47" ht="19.5" customHeight="1" thickBot="1" x14ac:dyDescent="0.3">
      <c r="C42" s="293" t="s">
        <v>118</v>
      </c>
      <c r="D42" s="294"/>
      <c r="E42" s="294"/>
      <c r="F42" s="294"/>
      <c r="L42" s="64"/>
    </row>
    <row r="43" spans="1:47" ht="39.75" customHeight="1" thickBot="1" x14ac:dyDescent="0.3">
      <c r="C43" s="54" t="s">
        <v>114</v>
      </c>
      <c r="D43" s="56" t="s">
        <v>115</v>
      </c>
      <c r="E43" s="55" t="s">
        <v>33</v>
      </c>
      <c r="M43" s="64"/>
    </row>
    <row r="44" spans="1:47" ht="19.5" customHeight="1" x14ac:dyDescent="0.25">
      <c r="C44" s="51" t="s">
        <v>80</v>
      </c>
      <c r="D44" s="52">
        <v>60</v>
      </c>
      <c r="E44" s="53">
        <v>140</v>
      </c>
    </row>
    <row r="45" spans="1:47" ht="19.5" customHeight="1" x14ac:dyDescent="0.25">
      <c r="C45" s="46" t="s">
        <v>13</v>
      </c>
      <c r="D45" s="45">
        <v>140</v>
      </c>
      <c r="E45" s="47">
        <v>220</v>
      </c>
    </row>
    <row r="46" spans="1:47" ht="19.5" customHeight="1" x14ac:dyDescent="0.25">
      <c r="C46" s="46" t="s">
        <v>12</v>
      </c>
      <c r="D46" s="45">
        <v>170</v>
      </c>
      <c r="E46" s="47">
        <v>300</v>
      </c>
    </row>
    <row r="47" spans="1:47" ht="19.5" customHeight="1" thickBot="1" x14ac:dyDescent="0.3">
      <c r="C47" s="48" t="s">
        <v>81</v>
      </c>
      <c r="D47" s="49">
        <v>170</v>
      </c>
      <c r="E47" s="50">
        <v>300</v>
      </c>
    </row>
    <row r="48" spans="1:47" ht="19.5" customHeight="1" x14ac:dyDescent="0.25">
      <c r="C48" s="35"/>
    </row>
    <row r="49" spans="3:34" ht="19.5" customHeight="1" x14ac:dyDescent="0.25">
      <c r="C49" s="35"/>
    </row>
    <row r="50" spans="3:34" ht="19.5" customHeight="1" x14ac:dyDescent="0.25">
      <c r="C50" s="35"/>
    </row>
    <row r="51" spans="3:34" ht="19.5" customHeight="1" x14ac:dyDescent="0.25">
      <c r="C51" s="35"/>
    </row>
    <row r="52" spans="3:34" s="38" customFormat="1" ht="32.25" hidden="1" customHeight="1" x14ac:dyDescent="0.25">
      <c r="C52" s="34" t="s">
        <v>114</v>
      </c>
      <c r="D52" s="34" t="s">
        <v>115</v>
      </c>
      <c r="E52" s="36" t="s">
        <v>116</v>
      </c>
      <c r="F52" s="34" t="s">
        <v>33</v>
      </c>
      <c r="G52" s="36" t="s">
        <v>116</v>
      </c>
      <c r="H52" s="37"/>
      <c r="I52" s="37"/>
      <c r="AF52" s="39"/>
      <c r="AH52" s="39"/>
    </row>
    <row r="53" spans="3:34" ht="32.25" hidden="1" customHeight="1" x14ac:dyDescent="0.25">
      <c r="C53" s="34" t="s">
        <v>80</v>
      </c>
      <c r="D53" s="34">
        <v>60</v>
      </c>
      <c r="E53" s="36" t="str">
        <f>IF(MIN(H59:H89)=0,"нет",MIN(H59:H89))</f>
        <v>нет</v>
      </c>
      <c r="F53" s="34">
        <v>140</v>
      </c>
      <c r="G53" s="36" t="str">
        <f>IF(MIN(I59:I89)=0,"нет",MIN(I59:I89))</f>
        <v>нет</v>
      </c>
      <c r="H53" s="37"/>
      <c r="I53" s="37"/>
    </row>
    <row r="54" spans="3:34" ht="32.25" hidden="1" customHeight="1" x14ac:dyDescent="0.25">
      <c r="C54" s="34" t="s">
        <v>13</v>
      </c>
      <c r="D54" s="34">
        <v>140</v>
      </c>
      <c r="E54" s="36" t="str">
        <f>IF(MIN(F59:F89)=0,"нет",MIN(F59:F89))</f>
        <v>нет</v>
      </c>
      <c r="F54" s="34">
        <v>220</v>
      </c>
      <c r="G54" s="36" t="str">
        <f>IF(MIN(G59:G89)=0,"нет",MIN(G59:G89))</f>
        <v>нет</v>
      </c>
      <c r="H54" s="37"/>
      <c r="I54" s="37"/>
    </row>
    <row r="55" spans="3:34" ht="32.25" hidden="1" customHeight="1" x14ac:dyDescent="0.25">
      <c r="C55" s="34" t="s">
        <v>12</v>
      </c>
      <c r="D55" s="34">
        <v>170</v>
      </c>
      <c r="E55" s="36" t="str">
        <f>IF(MIN(D59:D89)=0,"нет",MIN(D59:D89))</f>
        <v>нет</v>
      </c>
      <c r="F55" s="34">
        <v>300</v>
      </c>
      <c r="G55" s="36" t="str">
        <f>IF(MIN(E59:E89)=0,"нет",MIN(E59:E89))</f>
        <v>нет</v>
      </c>
      <c r="H55" s="37"/>
      <c r="I55" s="37"/>
    </row>
    <row r="56" spans="3:34" ht="32.25" hidden="1" customHeight="1" x14ac:dyDescent="0.25">
      <c r="C56" s="34" t="s">
        <v>81</v>
      </c>
      <c r="D56" s="34">
        <v>170</v>
      </c>
      <c r="E56" s="36" t="str">
        <f>IF(MIN(J59:J89)=0,"нет",MIN(J59:J89))</f>
        <v>нет</v>
      </c>
      <c r="F56" s="34">
        <v>300</v>
      </c>
      <c r="G56" s="36" t="str">
        <f>IF(MIN(K59:K89)=0,"нет",MIN(K59:K89))</f>
        <v>нет</v>
      </c>
      <c r="H56" s="37"/>
      <c r="I56" s="37"/>
    </row>
    <row r="57" spans="3:34" ht="32.25" hidden="1" customHeight="1" x14ac:dyDescent="0.25">
      <c r="C57" s="291" t="s">
        <v>117</v>
      </c>
      <c r="D57" s="292"/>
      <c r="E57" s="292"/>
      <c r="F57" s="292"/>
      <c r="G57" s="292"/>
      <c r="H57" s="292"/>
      <c r="I57" s="292"/>
      <c r="J57" s="292"/>
      <c r="K57" s="292"/>
    </row>
    <row r="58" spans="3:34" ht="32.25" hidden="1" customHeight="1" x14ac:dyDescent="0.25">
      <c r="C58" s="40"/>
      <c r="D58" s="287" t="s">
        <v>12</v>
      </c>
      <c r="E58" s="288"/>
      <c r="F58" s="287" t="s">
        <v>13</v>
      </c>
      <c r="G58" s="288"/>
      <c r="H58" s="287" t="s">
        <v>80</v>
      </c>
      <c r="I58" s="288"/>
      <c r="J58" s="287" t="s">
        <v>81</v>
      </c>
      <c r="K58" s="288"/>
    </row>
    <row r="59" spans="3:34" ht="32.25" hidden="1" customHeight="1" x14ac:dyDescent="0.25">
      <c r="C59" s="41">
        <f t="shared" ref="C59:C89" si="16">C10</f>
        <v>0</v>
      </c>
      <c r="D59" s="41" t="str">
        <f t="shared" ref="D59:D89" si="17">IF(C59="5-ти элем",D10," ")</f>
        <v xml:space="preserve"> </v>
      </c>
      <c r="E59" s="41" t="str">
        <f t="shared" ref="E59:E89" si="18">IF(C59="5-ти элем",E10," ")</f>
        <v xml:space="preserve"> </v>
      </c>
      <c r="F59" s="41" t="str">
        <f t="shared" ref="F59:F89" si="19">IF(C59="3-х элем",D10," ")</f>
        <v xml:space="preserve"> </v>
      </c>
      <c r="G59" s="41" t="str">
        <f t="shared" ref="G59:G89" si="20">IF(C59="3-х элем",E10," ")</f>
        <v xml:space="preserve"> </v>
      </c>
      <c r="H59" s="41" t="str">
        <f t="shared" ref="H59:H89" si="21">IF(C59="Гладкий",D10," ")</f>
        <v xml:space="preserve"> </v>
      </c>
      <c r="I59" s="41" t="str">
        <f t="shared" ref="I59:I89" si="22">IF(C59="Гладкий",E10," ")</f>
        <v xml:space="preserve"> </v>
      </c>
      <c r="J59" s="41" t="str">
        <f t="shared" ref="J59:J89" si="23">IF(C59="Витрина",D10," ")</f>
        <v xml:space="preserve"> </v>
      </c>
      <c r="K59" s="41" t="str">
        <f t="shared" ref="K59:K89" si="24">IF(C59="Витрина",E10," ")</f>
        <v xml:space="preserve"> </v>
      </c>
    </row>
    <row r="60" spans="3:34" ht="32.25" hidden="1" customHeight="1" x14ac:dyDescent="0.25">
      <c r="C60" s="41">
        <f t="shared" si="16"/>
        <v>0</v>
      </c>
      <c r="D60" s="41" t="str">
        <f t="shared" si="17"/>
        <v xml:space="preserve"> </v>
      </c>
      <c r="E60" s="41" t="str">
        <f t="shared" si="18"/>
        <v xml:space="preserve"> </v>
      </c>
      <c r="F60" s="41" t="str">
        <f t="shared" si="19"/>
        <v xml:space="preserve"> </v>
      </c>
      <c r="G60" s="41" t="str">
        <f t="shared" si="20"/>
        <v xml:space="preserve"> </v>
      </c>
      <c r="H60" s="41" t="str">
        <f t="shared" si="21"/>
        <v xml:space="preserve"> </v>
      </c>
      <c r="I60" s="41" t="str">
        <f t="shared" si="22"/>
        <v xml:space="preserve"> </v>
      </c>
      <c r="J60" s="41" t="str">
        <f t="shared" si="23"/>
        <v xml:space="preserve"> </v>
      </c>
      <c r="K60" s="41" t="str">
        <f t="shared" si="24"/>
        <v xml:space="preserve"> </v>
      </c>
    </row>
    <row r="61" spans="3:34" hidden="1" x14ac:dyDescent="0.25">
      <c r="C61" s="41">
        <f t="shared" si="16"/>
        <v>0</v>
      </c>
      <c r="D61" s="41" t="str">
        <f t="shared" si="17"/>
        <v xml:space="preserve"> </v>
      </c>
      <c r="E61" s="41" t="str">
        <f t="shared" si="18"/>
        <v xml:space="preserve"> </v>
      </c>
      <c r="F61" s="41" t="str">
        <f t="shared" si="19"/>
        <v xml:space="preserve"> </v>
      </c>
      <c r="G61" s="41" t="str">
        <f t="shared" si="20"/>
        <v xml:space="preserve"> </v>
      </c>
      <c r="H61" s="41" t="str">
        <f t="shared" si="21"/>
        <v xml:space="preserve"> </v>
      </c>
      <c r="I61" s="41" t="str">
        <f t="shared" si="22"/>
        <v xml:space="preserve"> </v>
      </c>
      <c r="J61" s="41" t="str">
        <f t="shared" si="23"/>
        <v xml:space="preserve"> </v>
      </c>
      <c r="K61" s="41" t="str">
        <f t="shared" si="24"/>
        <v xml:space="preserve"> </v>
      </c>
    </row>
    <row r="62" spans="3:34" hidden="1" x14ac:dyDescent="0.25">
      <c r="C62" s="41">
        <f t="shared" si="16"/>
        <v>0</v>
      </c>
      <c r="D62" s="41" t="str">
        <f t="shared" si="17"/>
        <v xml:space="preserve"> </v>
      </c>
      <c r="E62" s="41" t="str">
        <f t="shared" si="18"/>
        <v xml:space="preserve"> </v>
      </c>
      <c r="F62" s="41" t="str">
        <f t="shared" si="19"/>
        <v xml:space="preserve"> </v>
      </c>
      <c r="G62" s="41" t="str">
        <f t="shared" si="20"/>
        <v xml:space="preserve"> </v>
      </c>
      <c r="H62" s="41" t="str">
        <f t="shared" si="21"/>
        <v xml:space="preserve"> </v>
      </c>
      <c r="I62" s="41" t="str">
        <f t="shared" si="22"/>
        <v xml:space="preserve"> </v>
      </c>
      <c r="J62" s="41" t="str">
        <f t="shared" si="23"/>
        <v xml:space="preserve"> </v>
      </c>
      <c r="K62" s="41" t="str">
        <f t="shared" si="24"/>
        <v xml:space="preserve"> </v>
      </c>
    </row>
    <row r="63" spans="3:34" hidden="1" x14ac:dyDescent="0.25">
      <c r="C63" s="41">
        <f t="shared" si="16"/>
        <v>0</v>
      </c>
      <c r="D63" s="41" t="str">
        <f t="shared" si="17"/>
        <v xml:space="preserve"> </v>
      </c>
      <c r="E63" s="41" t="str">
        <f t="shared" si="18"/>
        <v xml:space="preserve"> </v>
      </c>
      <c r="F63" s="41" t="str">
        <f t="shared" si="19"/>
        <v xml:space="preserve"> </v>
      </c>
      <c r="G63" s="41" t="str">
        <f t="shared" si="20"/>
        <v xml:space="preserve"> </v>
      </c>
      <c r="H63" s="41" t="str">
        <f t="shared" si="21"/>
        <v xml:space="preserve"> </v>
      </c>
      <c r="I63" s="41" t="str">
        <f t="shared" si="22"/>
        <v xml:space="preserve"> </v>
      </c>
      <c r="J63" s="41" t="str">
        <f t="shared" si="23"/>
        <v xml:space="preserve"> </v>
      </c>
      <c r="K63" s="41" t="str">
        <f t="shared" si="24"/>
        <v xml:space="preserve"> </v>
      </c>
    </row>
    <row r="64" spans="3:34" hidden="1" x14ac:dyDescent="0.25">
      <c r="C64" s="41">
        <f t="shared" si="16"/>
        <v>0</v>
      </c>
      <c r="D64" s="41" t="str">
        <f t="shared" si="17"/>
        <v xml:space="preserve"> </v>
      </c>
      <c r="E64" s="41" t="str">
        <f t="shared" si="18"/>
        <v xml:space="preserve"> </v>
      </c>
      <c r="F64" s="41" t="str">
        <f t="shared" si="19"/>
        <v xml:space="preserve"> </v>
      </c>
      <c r="G64" s="41" t="str">
        <f t="shared" si="20"/>
        <v xml:space="preserve"> </v>
      </c>
      <c r="H64" s="41" t="str">
        <f t="shared" si="21"/>
        <v xml:space="preserve"> </v>
      </c>
      <c r="I64" s="41" t="str">
        <f t="shared" si="22"/>
        <v xml:space="preserve"> </v>
      </c>
      <c r="J64" s="41" t="str">
        <f t="shared" si="23"/>
        <v xml:space="preserve"> </v>
      </c>
      <c r="K64" s="41" t="str">
        <f t="shared" si="24"/>
        <v xml:space="preserve"> </v>
      </c>
    </row>
    <row r="65" spans="3:11" hidden="1" x14ac:dyDescent="0.25">
      <c r="C65" s="41">
        <f t="shared" si="16"/>
        <v>0</v>
      </c>
      <c r="D65" s="41" t="str">
        <f t="shared" si="17"/>
        <v xml:space="preserve"> </v>
      </c>
      <c r="E65" s="41" t="str">
        <f t="shared" si="18"/>
        <v xml:space="preserve"> </v>
      </c>
      <c r="F65" s="41" t="str">
        <f t="shared" si="19"/>
        <v xml:space="preserve"> </v>
      </c>
      <c r="G65" s="41" t="str">
        <f t="shared" si="20"/>
        <v xml:space="preserve"> </v>
      </c>
      <c r="H65" s="41" t="str">
        <f t="shared" si="21"/>
        <v xml:space="preserve"> </v>
      </c>
      <c r="I65" s="41" t="str">
        <f t="shared" si="22"/>
        <v xml:space="preserve"> </v>
      </c>
      <c r="J65" s="41" t="str">
        <f t="shared" si="23"/>
        <v xml:space="preserve"> </v>
      </c>
      <c r="K65" s="41" t="str">
        <f t="shared" si="24"/>
        <v xml:space="preserve"> </v>
      </c>
    </row>
    <row r="66" spans="3:11" hidden="1" x14ac:dyDescent="0.25">
      <c r="C66" s="41">
        <f t="shared" si="16"/>
        <v>0</v>
      </c>
      <c r="D66" s="41" t="str">
        <f t="shared" si="17"/>
        <v xml:space="preserve"> </v>
      </c>
      <c r="E66" s="41" t="str">
        <f t="shared" si="18"/>
        <v xml:space="preserve"> </v>
      </c>
      <c r="F66" s="41" t="str">
        <f t="shared" si="19"/>
        <v xml:space="preserve"> </v>
      </c>
      <c r="G66" s="41" t="str">
        <f t="shared" si="20"/>
        <v xml:space="preserve"> </v>
      </c>
      <c r="H66" s="41" t="str">
        <f t="shared" si="21"/>
        <v xml:space="preserve"> </v>
      </c>
      <c r="I66" s="41" t="str">
        <f t="shared" si="22"/>
        <v xml:space="preserve"> </v>
      </c>
      <c r="J66" s="41" t="str">
        <f t="shared" si="23"/>
        <v xml:space="preserve"> </v>
      </c>
      <c r="K66" s="41" t="str">
        <f t="shared" si="24"/>
        <v xml:space="preserve"> </v>
      </c>
    </row>
    <row r="67" spans="3:11" hidden="1" x14ac:dyDescent="0.25">
      <c r="C67" s="41">
        <f t="shared" si="16"/>
        <v>0</v>
      </c>
      <c r="D67" s="41" t="str">
        <f t="shared" si="17"/>
        <v xml:space="preserve"> </v>
      </c>
      <c r="E67" s="41" t="str">
        <f t="shared" si="18"/>
        <v xml:space="preserve"> </v>
      </c>
      <c r="F67" s="41" t="str">
        <f t="shared" si="19"/>
        <v xml:space="preserve"> </v>
      </c>
      <c r="G67" s="41" t="str">
        <f t="shared" si="20"/>
        <v xml:space="preserve"> </v>
      </c>
      <c r="H67" s="41" t="str">
        <f t="shared" si="21"/>
        <v xml:space="preserve"> </v>
      </c>
      <c r="I67" s="41" t="str">
        <f t="shared" si="22"/>
        <v xml:space="preserve"> </v>
      </c>
      <c r="J67" s="41" t="str">
        <f t="shared" si="23"/>
        <v xml:space="preserve"> </v>
      </c>
      <c r="K67" s="41" t="str">
        <f t="shared" si="24"/>
        <v xml:space="preserve"> </v>
      </c>
    </row>
    <row r="68" spans="3:11" hidden="1" x14ac:dyDescent="0.25">
      <c r="C68" s="41">
        <f t="shared" si="16"/>
        <v>0</v>
      </c>
      <c r="D68" s="41" t="str">
        <f t="shared" si="17"/>
        <v xml:space="preserve"> </v>
      </c>
      <c r="E68" s="41" t="str">
        <f t="shared" si="18"/>
        <v xml:space="preserve"> </v>
      </c>
      <c r="F68" s="41" t="str">
        <f t="shared" si="19"/>
        <v xml:space="preserve"> </v>
      </c>
      <c r="G68" s="41" t="str">
        <f t="shared" si="20"/>
        <v xml:space="preserve"> </v>
      </c>
      <c r="H68" s="41" t="str">
        <f t="shared" si="21"/>
        <v xml:space="preserve"> </v>
      </c>
      <c r="I68" s="41" t="str">
        <f t="shared" si="22"/>
        <v xml:space="preserve"> </v>
      </c>
      <c r="J68" s="41" t="str">
        <f t="shared" si="23"/>
        <v xml:space="preserve"> </v>
      </c>
      <c r="K68" s="41" t="str">
        <f t="shared" si="24"/>
        <v xml:space="preserve"> </v>
      </c>
    </row>
    <row r="69" spans="3:11" hidden="1" x14ac:dyDescent="0.25">
      <c r="C69" s="41">
        <f t="shared" si="16"/>
        <v>0</v>
      </c>
      <c r="D69" s="41" t="str">
        <f t="shared" si="17"/>
        <v xml:space="preserve"> </v>
      </c>
      <c r="E69" s="41" t="str">
        <f t="shared" si="18"/>
        <v xml:space="preserve"> </v>
      </c>
      <c r="F69" s="41" t="str">
        <f t="shared" si="19"/>
        <v xml:space="preserve"> </v>
      </c>
      <c r="G69" s="41" t="str">
        <f t="shared" si="20"/>
        <v xml:space="preserve"> </v>
      </c>
      <c r="H69" s="41" t="str">
        <f t="shared" si="21"/>
        <v xml:space="preserve"> </v>
      </c>
      <c r="I69" s="41" t="str">
        <f t="shared" si="22"/>
        <v xml:space="preserve"> </v>
      </c>
      <c r="J69" s="41" t="str">
        <f t="shared" si="23"/>
        <v xml:space="preserve"> </v>
      </c>
      <c r="K69" s="41" t="str">
        <f t="shared" si="24"/>
        <v xml:space="preserve"> </v>
      </c>
    </row>
    <row r="70" spans="3:11" hidden="1" x14ac:dyDescent="0.25">
      <c r="C70" s="41">
        <f t="shared" si="16"/>
        <v>0</v>
      </c>
      <c r="D70" s="41" t="str">
        <f t="shared" si="17"/>
        <v xml:space="preserve"> </v>
      </c>
      <c r="E70" s="41" t="str">
        <f t="shared" si="18"/>
        <v xml:space="preserve"> </v>
      </c>
      <c r="F70" s="41" t="str">
        <f t="shared" si="19"/>
        <v xml:space="preserve"> </v>
      </c>
      <c r="G70" s="41" t="str">
        <f t="shared" si="20"/>
        <v xml:space="preserve"> </v>
      </c>
      <c r="H70" s="41" t="str">
        <f t="shared" si="21"/>
        <v xml:space="preserve"> </v>
      </c>
      <c r="I70" s="41" t="str">
        <f t="shared" si="22"/>
        <v xml:space="preserve"> </v>
      </c>
      <c r="J70" s="41" t="str">
        <f t="shared" si="23"/>
        <v xml:space="preserve"> </v>
      </c>
      <c r="K70" s="41" t="str">
        <f t="shared" si="24"/>
        <v xml:space="preserve"> </v>
      </c>
    </row>
    <row r="71" spans="3:11" hidden="1" x14ac:dyDescent="0.25">
      <c r="C71" s="41">
        <f t="shared" si="16"/>
        <v>0</v>
      </c>
      <c r="D71" s="41" t="str">
        <f t="shared" si="17"/>
        <v xml:space="preserve"> </v>
      </c>
      <c r="E71" s="41" t="str">
        <f t="shared" si="18"/>
        <v xml:space="preserve"> </v>
      </c>
      <c r="F71" s="41" t="str">
        <f t="shared" si="19"/>
        <v xml:space="preserve"> </v>
      </c>
      <c r="G71" s="41" t="str">
        <f t="shared" si="20"/>
        <v xml:space="preserve"> </v>
      </c>
      <c r="H71" s="41" t="str">
        <f t="shared" si="21"/>
        <v xml:space="preserve"> </v>
      </c>
      <c r="I71" s="41" t="str">
        <f t="shared" si="22"/>
        <v xml:space="preserve"> </v>
      </c>
      <c r="J71" s="41" t="str">
        <f t="shared" si="23"/>
        <v xml:space="preserve"> </v>
      </c>
      <c r="K71" s="41" t="str">
        <f t="shared" si="24"/>
        <v xml:space="preserve"> </v>
      </c>
    </row>
    <row r="72" spans="3:11" hidden="1" x14ac:dyDescent="0.25">
      <c r="C72" s="41">
        <f t="shared" si="16"/>
        <v>0</v>
      </c>
      <c r="D72" s="41" t="str">
        <f t="shared" si="17"/>
        <v xml:space="preserve"> </v>
      </c>
      <c r="E72" s="41" t="str">
        <f t="shared" si="18"/>
        <v xml:space="preserve"> </v>
      </c>
      <c r="F72" s="41" t="str">
        <f t="shared" si="19"/>
        <v xml:space="preserve"> </v>
      </c>
      <c r="G72" s="41" t="str">
        <f t="shared" si="20"/>
        <v xml:space="preserve"> </v>
      </c>
      <c r="H72" s="41" t="str">
        <f t="shared" si="21"/>
        <v xml:space="preserve"> </v>
      </c>
      <c r="I72" s="41" t="str">
        <f t="shared" si="22"/>
        <v xml:space="preserve"> </v>
      </c>
      <c r="J72" s="41" t="str">
        <f t="shared" si="23"/>
        <v xml:space="preserve"> </v>
      </c>
      <c r="K72" s="41" t="str">
        <f t="shared" si="24"/>
        <v xml:space="preserve"> </v>
      </c>
    </row>
    <row r="73" spans="3:11" hidden="1" x14ac:dyDescent="0.25">
      <c r="C73" s="41">
        <f t="shared" si="16"/>
        <v>0</v>
      </c>
      <c r="D73" s="41" t="str">
        <f t="shared" si="17"/>
        <v xml:space="preserve"> </v>
      </c>
      <c r="E73" s="41" t="str">
        <f t="shared" si="18"/>
        <v xml:space="preserve"> </v>
      </c>
      <c r="F73" s="41" t="str">
        <f t="shared" si="19"/>
        <v xml:space="preserve"> </v>
      </c>
      <c r="G73" s="41" t="str">
        <f t="shared" si="20"/>
        <v xml:space="preserve"> </v>
      </c>
      <c r="H73" s="41" t="str">
        <f t="shared" si="21"/>
        <v xml:space="preserve"> </v>
      </c>
      <c r="I73" s="41" t="str">
        <f t="shared" si="22"/>
        <v xml:space="preserve"> </v>
      </c>
      <c r="J73" s="41" t="str">
        <f t="shared" si="23"/>
        <v xml:space="preserve"> </v>
      </c>
      <c r="K73" s="41" t="str">
        <f t="shared" si="24"/>
        <v xml:space="preserve"> </v>
      </c>
    </row>
    <row r="74" spans="3:11" hidden="1" x14ac:dyDescent="0.25">
      <c r="C74" s="41">
        <f t="shared" si="16"/>
        <v>0</v>
      </c>
      <c r="D74" s="41" t="str">
        <f t="shared" si="17"/>
        <v xml:space="preserve"> </v>
      </c>
      <c r="E74" s="41" t="str">
        <f t="shared" si="18"/>
        <v xml:space="preserve"> </v>
      </c>
      <c r="F74" s="41" t="str">
        <f t="shared" si="19"/>
        <v xml:space="preserve"> </v>
      </c>
      <c r="G74" s="41" t="str">
        <f t="shared" si="20"/>
        <v xml:space="preserve"> </v>
      </c>
      <c r="H74" s="41" t="str">
        <f t="shared" si="21"/>
        <v xml:space="preserve"> </v>
      </c>
      <c r="I74" s="41" t="str">
        <f t="shared" si="22"/>
        <v xml:space="preserve"> </v>
      </c>
      <c r="J74" s="41" t="str">
        <f t="shared" si="23"/>
        <v xml:space="preserve"> </v>
      </c>
      <c r="K74" s="41" t="str">
        <f t="shared" si="24"/>
        <v xml:space="preserve"> </v>
      </c>
    </row>
    <row r="75" spans="3:11" hidden="1" x14ac:dyDescent="0.25">
      <c r="C75" s="41">
        <f t="shared" si="16"/>
        <v>0</v>
      </c>
      <c r="D75" s="41" t="str">
        <f t="shared" si="17"/>
        <v xml:space="preserve"> </v>
      </c>
      <c r="E75" s="41" t="str">
        <f t="shared" si="18"/>
        <v xml:space="preserve"> </v>
      </c>
      <c r="F75" s="41" t="str">
        <f t="shared" si="19"/>
        <v xml:space="preserve"> </v>
      </c>
      <c r="G75" s="41" t="str">
        <f t="shared" si="20"/>
        <v xml:space="preserve"> </v>
      </c>
      <c r="H75" s="41" t="str">
        <f t="shared" si="21"/>
        <v xml:space="preserve"> </v>
      </c>
      <c r="I75" s="41" t="str">
        <f t="shared" si="22"/>
        <v xml:space="preserve"> </v>
      </c>
      <c r="J75" s="41" t="str">
        <f t="shared" si="23"/>
        <v xml:space="preserve"> </v>
      </c>
      <c r="K75" s="41" t="str">
        <f t="shared" si="24"/>
        <v xml:space="preserve"> </v>
      </c>
    </row>
    <row r="76" spans="3:11" hidden="1" x14ac:dyDescent="0.25">
      <c r="C76" s="41">
        <f t="shared" si="16"/>
        <v>0</v>
      </c>
      <c r="D76" s="41" t="str">
        <f t="shared" si="17"/>
        <v xml:space="preserve"> </v>
      </c>
      <c r="E76" s="41" t="str">
        <f t="shared" si="18"/>
        <v xml:space="preserve"> </v>
      </c>
      <c r="F76" s="41" t="str">
        <f t="shared" si="19"/>
        <v xml:space="preserve"> </v>
      </c>
      <c r="G76" s="41" t="str">
        <f t="shared" si="20"/>
        <v xml:space="preserve"> </v>
      </c>
      <c r="H76" s="41" t="str">
        <f t="shared" si="21"/>
        <v xml:space="preserve"> </v>
      </c>
      <c r="I76" s="41" t="str">
        <f t="shared" si="22"/>
        <v xml:space="preserve"> </v>
      </c>
      <c r="J76" s="41" t="str">
        <f t="shared" si="23"/>
        <v xml:space="preserve"> </v>
      </c>
      <c r="K76" s="41" t="str">
        <f t="shared" si="24"/>
        <v xml:space="preserve"> </v>
      </c>
    </row>
    <row r="77" spans="3:11" hidden="1" x14ac:dyDescent="0.25">
      <c r="C77" s="41">
        <f t="shared" si="16"/>
        <v>0</v>
      </c>
      <c r="D77" s="41" t="str">
        <f t="shared" si="17"/>
        <v xml:space="preserve"> </v>
      </c>
      <c r="E77" s="41" t="str">
        <f t="shared" si="18"/>
        <v xml:space="preserve"> </v>
      </c>
      <c r="F77" s="41" t="str">
        <f t="shared" si="19"/>
        <v xml:space="preserve"> </v>
      </c>
      <c r="G77" s="41" t="str">
        <f t="shared" si="20"/>
        <v xml:space="preserve"> </v>
      </c>
      <c r="H77" s="41" t="str">
        <f t="shared" si="21"/>
        <v xml:space="preserve"> </v>
      </c>
      <c r="I77" s="41" t="str">
        <f t="shared" si="22"/>
        <v xml:space="preserve"> </v>
      </c>
      <c r="J77" s="41" t="str">
        <f t="shared" si="23"/>
        <v xml:space="preserve"> </v>
      </c>
      <c r="K77" s="41" t="str">
        <f t="shared" si="24"/>
        <v xml:space="preserve"> </v>
      </c>
    </row>
    <row r="78" spans="3:11" hidden="1" x14ac:dyDescent="0.25">
      <c r="C78" s="41">
        <f t="shared" si="16"/>
        <v>0</v>
      </c>
      <c r="D78" s="41" t="str">
        <f t="shared" si="17"/>
        <v xml:space="preserve"> </v>
      </c>
      <c r="E78" s="41" t="str">
        <f t="shared" si="18"/>
        <v xml:space="preserve"> </v>
      </c>
      <c r="F78" s="41" t="str">
        <f t="shared" si="19"/>
        <v xml:space="preserve"> </v>
      </c>
      <c r="G78" s="41" t="str">
        <f t="shared" si="20"/>
        <v xml:space="preserve"> </v>
      </c>
      <c r="H78" s="41" t="str">
        <f t="shared" si="21"/>
        <v xml:space="preserve"> </v>
      </c>
      <c r="I78" s="41" t="str">
        <f t="shared" si="22"/>
        <v xml:space="preserve"> </v>
      </c>
      <c r="J78" s="41" t="str">
        <f t="shared" si="23"/>
        <v xml:space="preserve"> </v>
      </c>
      <c r="K78" s="41" t="str">
        <f t="shared" si="24"/>
        <v xml:space="preserve"> </v>
      </c>
    </row>
    <row r="79" spans="3:11" hidden="1" x14ac:dyDescent="0.25">
      <c r="C79" s="41">
        <f t="shared" si="16"/>
        <v>0</v>
      </c>
      <c r="D79" s="41" t="str">
        <f t="shared" si="17"/>
        <v xml:space="preserve"> </v>
      </c>
      <c r="E79" s="41" t="str">
        <f t="shared" si="18"/>
        <v xml:space="preserve"> </v>
      </c>
      <c r="F79" s="41" t="str">
        <f t="shared" si="19"/>
        <v xml:space="preserve"> </v>
      </c>
      <c r="G79" s="41" t="str">
        <f t="shared" si="20"/>
        <v xml:space="preserve"> </v>
      </c>
      <c r="H79" s="41" t="str">
        <f t="shared" si="21"/>
        <v xml:space="preserve"> </v>
      </c>
      <c r="I79" s="41" t="str">
        <f t="shared" si="22"/>
        <v xml:space="preserve"> </v>
      </c>
      <c r="J79" s="41" t="str">
        <f t="shared" si="23"/>
        <v xml:space="preserve"> </v>
      </c>
      <c r="K79" s="41" t="str">
        <f t="shared" si="24"/>
        <v xml:space="preserve"> </v>
      </c>
    </row>
    <row r="80" spans="3:11" hidden="1" x14ac:dyDescent="0.25">
      <c r="C80" s="41">
        <f t="shared" si="16"/>
        <v>0</v>
      </c>
      <c r="D80" s="41" t="str">
        <f t="shared" si="17"/>
        <v xml:space="preserve"> </v>
      </c>
      <c r="E80" s="41" t="str">
        <f t="shared" si="18"/>
        <v xml:space="preserve"> </v>
      </c>
      <c r="F80" s="41" t="str">
        <f t="shared" si="19"/>
        <v xml:space="preserve"> </v>
      </c>
      <c r="G80" s="41" t="str">
        <f t="shared" si="20"/>
        <v xml:space="preserve"> </v>
      </c>
      <c r="H80" s="41" t="str">
        <f t="shared" si="21"/>
        <v xml:space="preserve"> </v>
      </c>
      <c r="I80" s="41" t="str">
        <f t="shared" si="22"/>
        <v xml:space="preserve"> </v>
      </c>
      <c r="J80" s="41" t="str">
        <f t="shared" si="23"/>
        <v xml:space="preserve"> </v>
      </c>
      <c r="K80" s="41" t="str">
        <f t="shared" si="24"/>
        <v xml:space="preserve"> </v>
      </c>
    </row>
    <row r="81" spans="3:11" hidden="1" x14ac:dyDescent="0.25">
      <c r="C81" s="41">
        <f t="shared" si="16"/>
        <v>0</v>
      </c>
      <c r="D81" s="41" t="str">
        <f t="shared" si="17"/>
        <v xml:space="preserve"> </v>
      </c>
      <c r="E81" s="41" t="str">
        <f t="shared" si="18"/>
        <v xml:space="preserve"> </v>
      </c>
      <c r="F81" s="41" t="str">
        <f t="shared" si="19"/>
        <v xml:space="preserve"> </v>
      </c>
      <c r="G81" s="41" t="str">
        <f t="shared" si="20"/>
        <v xml:space="preserve"> </v>
      </c>
      <c r="H81" s="41" t="str">
        <f t="shared" si="21"/>
        <v xml:space="preserve"> </v>
      </c>
      <c r="I81" s="41" t="str">
        <f t="shared" si="22"/>
        <v xml:space="preserve"> </v>
      </c>
      <c r="J81" s="41" t="str">
        <f t="shared" si="23"/>
        <v xml:space="preserve"> </v>
      </c>
      <c r="K81" s="41" t="str">
        <f t="shared" si="24"/>
        <v xml:space="preserve"> </v>
      </c>
    </row>
    <row r="82" spans="3:11" hidden="1" x14ac:dyDescent="0.25">
      <c r="C82" s="41">
        <f t="shared" si="16"/>
        <v>0</v>
      </c>
      <c r="D82" s="41" t="str">
        <f t="shared" si="17"/>
        <v xml:space="preserve"> </v>
      </c>
      <c r="E82" s="41" t="str">
        <f t="shared" si="18"/>
        <v xml:space="preserve"> </v>
      </c>
      <c r="F82" s="41" t="str">
        <f t="shared" si="19"/>
        <v xml:space="preserve"> </v>
      </c>
      <c r="G82" s="41" t="str">
        <f t="shared" si="20"/>
        <v xml:space="preserve"> </v>
      </c>
      <c r="H82" s="41" t="str">
        <f t="shared" si="21"/>
        <v xml:space="preserve"> </v>
      </c>
      <c r="I82" s="41" t="str">
        <f t="shared" si="22"/>
        <v xml:space="preserve"> </v>
      </c>
      <c r="J82" s="41" t="str">
        <f t="shared" si="23"/>
        <v xml:space="preserve"> </v>
      </c>
      <c r="K82" s="41" t="str">
        <f t="shared" si="24"/>
        <v xml:space="preserve"> </v>
      </c>
    </row>
    <row r="83" spans="3:11" hidden="1" x14ac:dyDescent="0.25">
      <c r="C83" s="41">
        <f t="shared" si="16"/>
        <v>0</v>
      </c>
      <c r="D83" s="41" t="str">
        <f t="shared" si="17"/>
        <v xml:space="preserve"> </v>
      </c>
      <c r="E83" s="41" t="str">
        <f t="shared" si="18"/>
        <v xml:space="preserve"> </v>
      </c>
      <c r="F83" s="41" t="str">
        <f t="shared" si="19"/>
        <v xml:space="preserve"> </v>
      </c>
      <c r="G83" s="41" t="str">
        <f t="shared" si="20"/>
        <v xml:space="preserve"> </v>
      </c>
      <c r="H83" s="41" t="str">
        <f t="shared" si="21"/>
        <v xml:space="preserve"> </v>
      </c>
      <c r="I83" s="41" t="str">
        <f t="shared" si="22"/>
        <v xml:space="preserve"> </v>
      </c>
      <c r="J83" s="41" t="str">
        <f t="shared" si="23"/>
        <v xml:space="preserve"> </v>
      </c>
      <c r="K83" s="41" t="str">
        <f t="shared" si="24"/>
        <v xml:space="preserve"> </v>
      </c>
    </row>
    <row r="84" spans="3:11" hidden="1" x14ac:dyDescent="0.25">
      <c r="C84" s="41">
        <f t="shared" si="16"/>
        <v>0</v>
      </c>
      <c r="D84" s="41" t="str">
        <f t="shared" si="17"/>
        <v xml:space="preserve"> </v>
      </c>
      <c r="E84" s="41" t="str">
        <f t="shared" si="18"/>
        <v xml:space="preserve"> </v>
      </c>
      <c r="F84" s="41" t="str">
        <f t="shared" si="19"/>
        <v xml:space="preserve"> </v>
      </c>
      <c r="G84" s="41" t="str">
        <f t="shared" si="20"/>
        <v xml:space="preserve"> </v>
      </c>
      <c r="H84" s="41" t="str">
        <f t="shared" si="21"/>
        <v xml:space="preserve"> </v>
      </c>
      <c r="I84" s="41" t="str">
        <f t="shared" si="22"/>
        <v xml:space="preserve"> </v>
      </c>
      <c r="J84" s="41" t="str">
        <f t="shared" si="23"/>
        <v xml:space="preserve"> </v>
      </c>
      <c r="K84" s="41" t="str">
        <f t="shared" si="24"/>
        <v xml:space="preserve"> </v>
      </c>
    </row>
    <row r="85" spans="3:11" hidden="1" x14ac:dyDescent="0.25">
      <c r="C85" s="41">
        <f t="shared" si="16"/>
        <v>0</v>
      </c>
      <c r="D85" s="41" t="str">
        <f t="shared" si="17"/>
        <v xml:space="preserve"> </v>
      </c>
      <c r="E85" s="41" t="str">
        <f t="shared" si="18"/>
        <v xml:space="preserve"> </v>
      </c>
      <c r="F85" s="41" t="str">
        <f t="shared" si="19"/>
        <v xml:space="preserve"> </v>
      </c>
      <c r="G85" s="41" t="str">
        <f t="shared" si="20"/>
        <v xml:space="preserve"> </v>
      </c>
      <c r="H85" s="41" t="str">
        <f t="shared" si="21"/>
        <v xml:space="preserve"> </v>
      </c>
      <c r="I85" s="41" t="str">
        <f t="shared" si="22"/>
        <v xml:space="preserve"> </v>
      </c>
      <c r="J85" s="41" t="str">
        <f t="shared" si="23"/>
        <v xml:space="preserve"> </v>
      </c>
      <c r="K85" s="41" t="str">
        <f t="shared" si="24"/>
        <v xml:space="preserve"> </v>
      </c>
    </row>
    <row r="86" spans="3:11" hidden="1" x14ac:dyDescent="0.25">
      <c r="C86" s="41">
        <f t="shared" si="16"/>
        <v>0</v>
      </c>
      <c r="D86" s="41" t="str">
        <f t="shared" si="17"/>
        <v xml:space="preserve"> </v>
      </c>
      <c r="E86" s="41" t="str">
        <f t="shared" si="18"/>
        <v xml:space="preserve"> </v>
      </c>
      <c r="F86" s="41" t="str">
        <f t="shared" si="19"/>
        <v xml:space="preserve"> </v>
      </c>
      <c r="G86" s="41" t="str">
        <f t="shared" si="20"/>
        <v xml:space="preserve"> </v>
      </c>
      <c r="H86" s="41" t="str">
        <f t="shared" si="21"/>
        <v xml:space="preserve"> </v>
      </c>
      <c r="I86" s="41" t="str">
        <f t="shared" si="22"/>
        <v xml:space="preserve"> </v>
      </c>
      <c r="J86" s="41" t="str">
        <f t="shared" si="23"/>
        <v xml:space="preserve"> </v>
      </c>
      <c r="K86" s="41" t="str">
        <f t="shared" si="24"/>
        <v xml:space="preserve"> </v>
      </c>
    </row>
    <row r="87" spans="3:11" hidden="1" x14ac:dyDescent="0.25">
      <c r="C87" s="41">
        <f t="shared" si="16"/>
        <v>0</v>
      </c>
      <c r="D87" s="41" t="str">
        <f t="shared" si="17"/>
        <v xml:space="preserve"> </v>
      </c>
      <c r="E87" s="41" t="str">
        <f t="shared" si="18"/>
        <v xml:space="preserve"> </v>
      </c>
      <c r="F87" s="41" t="str">
        <f t="shared" si="19"/>
        <v xml:space="preserve"> </v>
      </c>
      <c r="G87" s="41" t="str">
        <f t="shared" si="20"/>
        <v xml:space="preserve"> </v>
      </c>
      <c r="H87" s="41" t="str">
        <f t="shared" si="21"/>
        <v xml:space="preserve"> </v>
      </c>
      <c r="I87" s="41" t="str">
        <f t="shared" si="22"/>
        <v xml:space="preserve"> </v>
      </c>
      <c r="J87" s="41" t="str">
        <f t="shared" si="23"/>
        <v xml:space="preserve"> </v>
      </c>
      <c r="K87" s="41" t="str">
        <f t="shared" si="24"/>
        <v xml:space="preserve"> </v>
      </c>
    </row>
    <row r="88" spans="3:11" hidden="1" x14ac:dyDescent="0.25">
      <c r="C88" s="41">
        <f>C39</f>
        <v>0</v>
      </c>
      <c r="D88" s="41" t="str">
        <f>IF(C88="5-ти элем",D39," ")</f>
        <v xml:space="preserve"> </v>
      </c>
      <c r="E88" s="41" t="str">
        <f>IF(C88="5-ти элем",E39," ")</f>
        <v xml:space="preserve"> </v>
      </c>
      <c r="F88" s="41" t="str">
        <f>IF(C88="3-х элем",D39," ")</f>
        <v xml:space="preserve"> </v>
      </c>
      <c r="G88" s="41" t="str">
        <f>IF(C88="3-х элем",E39," ")</f>
        <v xml:space="preserve"> </v>
      </c>
      <c r="H88" s="41" t="str">
        <f>IF(C88="Гладкий",D39," ")</f>
        <v xml:space="preserve"> </v>
      </c>
      <c r="I88" s="41" t="str">
        <f>IF(C88="Гладкий",E39," ")</f>
        <v xml:space="preserve"> </v>
      </c>
      <c r="J88" s="41" t="str">
        <f>IF(C88="Витрина",D39," ")</f>
        <v xml:space="preserve"> </v>
      </c>
      <c r="K88" s="41" t="str">
        <f>IF(C88="Витрина",E39," ")</f>
        <v xml:space="preserve"> </v>
      </c>
    </row>
    <row r="89" spans="3:11" hidden="1" x14ac:dyDescent="0.25">
      <c r="C89" s="41">
        <f t="shared" si="16"/>
        <v>0</v>
      </c>
      <c r="D89" s="41" t="str">
        <f t="shared" si="17"/>
        <v xml:space="preserve"> </v>
      </c>
      <c r="E89" s="41" t="str">
        <f t="shared" si="18"/>
        <v xml:space="preserve"> </v>
      </c>
      <c r="F89" s="41" t="str">
        <f t="shared" si="19"/>
        <v xml:space="preserve"> </v>
      </c>
      <c r="G89" s="41" t="str">
        <f t="shared" si="20"/>
        <v xml:space="preserve"> </v>
      </c>
      <c r="H89" s="41" t="str">
        <f t="shared" si="21"/>
        <v xml:space="preserve"> </v>
      </c>
      <c r="I89" s="41" t="str">
        <f t="shared" si="22"/>
        <v xml:space="preserve"> </v>
      </c>
      <c r="J89" s="41" t="str">
        <f t="shared" si="23"/>
        <v xml:space="preserve"> </v>
      </c>
      <c r="K89" s="41" t="str">
        <f t="shared" si="24"/>
        <v xml:space="preserve"> </v>
      </c>
    </row>
    <row r="90" spans="3:11" hidden="1" x14ac:dyDescent="0.25"/>
    <row r="91" spans="3:11" hidden="1" x14ac:dyDescent="0.25"/>
  </sheetData>
  <sheetProtection formatCells="0" selectLockedCells="1" sort="0" autoFilter="0"/>
  <autoFilter ref="B9:L47">
    <filterColumn colId="9" showButton="0"/>
  </autoFilter>
  <dataConsolidate/>
  <mergeCells count="19">
    <mergeCell ref="V8:AK8"/>
    <mergeCell ref="C41:I41"/>
    <mergeCell ref="B3:L3"/>
    <mergeCell ref="K9:L9"/>
    <mergeCell ref="K25:L25"/>
    <mergeCell ref="K32:L32"/>
    <mergeCell ref="N7:P7"/>
    <mergeCell ref="K10:K11"/>
    <mergeCell ref="K12:K15"/>
    <mergeCell ref="K16:K20"/>
    <mergeCell ref="D58:E58"/>
    <mergeCell ref="F58:G58"/>
    <mergeCell ref="H58:I58"/>
    <mergeCell ref="J58:K58"/>
    <mergeCell ref="D8:F8"/>
    <mergeCell ref="C57:K57"/>
    <mergeCell ref="C42:F42"/>
    <mergeCell ref="K31:L31"/>
    <mergeCell ref="K39:L39"/>
  </mergeCells>
  <conditionalFormatting sqref="A1:A1048576">
    <cfRule type="cellIs" dxfId="1" priority="2" operator="greaterThan">
      <formula>0</formula>
    </cfRule>
  </conditionalFormatting>
  <conditionalFormatting sqref="J10:J39">
    <cfRule type="containsText" dxfId="0" priority="1" operator="containsText" text="Ошибка">
      <formula>NOT(ISERROR(SEARCH("Ошибка",J10)))</formula>
    </cfRule>
  </conditionalFormatting>
  <dataValidations count="6">
    <dataValidation type="list" allowBlank="1" showInputMessage="1" showErrorMessage="1" sqref="WUF983045 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C65541 HT65541 RP65541 ABL65541 ALH65541 AVD65541 BEZ65541 BOV65541 BYR65541 CIN65541 CSJ65541 DCF65541 DMB65541 DVX65541 EFT65541 EPP65541 EZL65541 FJH65541 FTD65541 GCZ65541 GMV65541 GWR65541 HGN65541 HQJ65541 IAF65541 IKB65541 ITX65541 JDT65541 JNP65541 JXL65541 KHH65541 KRD65541 LAZ65541 LKV65541 LUR65541 MEN65541 MOJ65541 MYF65541 NIB65541 NRX65541 OBT65541 OLP65541 OVL65541 PFH65541 PPD65541 PYZ65541 QIV65541 QSR65541 RCN65541 RMJ65541 RWF65541 SGB65541 SPX65541 SZT65541 TJP65541 TTL65541 UDH65541 UND65541 UWZ65541 VGV65541 VQR65541 WAN65541 WKJ65541 WUF65541 C131077 HT131077 RP131077 ABL131077 ALH131077 AVD131077 BEZ131077 BOV131077 BYR131077 CIN131077 CSJ131077 DCF131077 DMB131077 DVX131077 EFT131077 EPP131077 EZL131077 FJH131077 FTD131077 GCZ131077 GMV131077 GWR131077 HGN131077 HQJ131077 IAF131077 IKB131077 ITX131077 JDT131077 JNP131077 JXL131077 KHH131077 KRD131077 LAZ131077 LKV131077 LUR131077 MEN131077 MOJ131077 MYF131077 NIB131077 NRX131077 OBT131077 OLP131077 OVL131077 PFH131077 PPD131077 PYZ131077 QIV131077 QSR131077 RCN131077 RMJ131077 RWF131077 SGB131077 SPX131077 SZT131077 TJP131077 TTL131077 UDH131077 UND131077 UWZ131077 VGV131077 VQR131077 WAN131077 WKJ131077 WUF131077 C196613 HT196613 RP196613 ABL196613 ALH196613 AVD196613 BEZ196613 BOV196613 BYR196613 CIN196613 CSJ196613 DCF196613 DMB196613 DVX196613 EFT196613 EPP196613 EZL196613 FJH196613 FTD196613 GCZ196613 GMV196613 GWR196613 HGN196613 HQJ196613 IAF196613 IKB196613 ITX196613 JDT196613 JNP196613 JXL196613 KHH196613 KRD196613 LAZ196613 LKV196613 LUR196613 MEN196613 MOJ196613 MYF196613 NIB196613 NRX196613 OBT196613 OLP196613 OVL196613 PFH196613 PPD196613 PYZ196613 QIV196613 QSR196613 RCN196613 RMJ196613 RWF196613 SGB196613 SPX196613 SZT196613 TJP196613 TTL196613 UDH196613 UND196613 UWZ196613 VGV196613 VQR196613 WAN196613 WKJ196613 WUF196613 C262149 HT262149 RP262149 ABL262149 ALH262149 AVD262149 BEZ262149 BOV262149 BYR262149 CIN262149 CSJ262149 DCF262149 DMB262149 DVX262149 EFT262149 EPP262149 EZL262149 FJH262149 FTD262149 GCZ262149 GMV262149 GWR262149 HGN262149 HQJ262149 IAF262149 IKB262149 ITX262149 JDT262149 JNP262149 JXL262149 KHH262149 KRD262149 LAZ262149 LKV262149 LUR262149 MEN262149 MOJ262149 MYF262149 NIB262149 NRX262149 OBT262149 OLP262149 OVL262149 PFH262149 PPD262149 PYZ262149 QIV262149 QSR262149 RCN262149 RMJ262149 RWF262149 SGB262149 SPX262149 SZT262149 TJP262149 TTL262149 UDH262149 UND262149 UWZ262149 VGV262149 VQR262149 WAN262149 WKJ262149 WUF262149 C327685 HT327685 RP327685 ABL327685 ALH327685 AVD327685 BEZ327685 BOV327685 BYR327685 CIN327685 CSJ327685 DCF327685 DMB327685 DVX327685 EFT327685 EPP327685 EZL327685 FJH327685 FTD327685 GCZ327685 GMV327685 GWR327685 HGN327685 HQJ327685 IAF327685 IKB327685 ITX327685 JDT327685 JNP327685 JXL327685 KHH327685 KRD327685 LAZ327685 LKV327685 LUR327685 MEN327685 MOJ327685 MYF327685 NIB327685 NRX327685 OBT327685 OLP327685 OVL327685 PFH327685 PPD327685 PYZ327685 QIV327685 QSR327685 RCN327685 RMJ327685 RWF327685 SGB327685 SPX327685 SZT327685 TJP327685 TTL327685 UDH327685 UND327685 UWZ327685 VGV327685 VQR327685 WAN327685 WKJ327685 WUF327685 C393221 HT393221 RP393221 ABL393221 ALH393221 AVD393221 BEZ393221 BOV393221 BYR393221 CIN393221 CSJ393221 DCF393221 DMB393221 DVX393221 EFT393221 EPP393221 EZL393221 FJH393221 FTD393221 GCZ393221 GMV393221 GWR393221 HGN393221 HQJ393221 IAF393221 IKB393221 ITX393221 JDT393221 JNP393221 JXL393221 KHH393221 KRD393221 LAZ393221 LKV393221 LUR393221 MEN393221 MOJ393221 MYF393221 NIB393221 NRX393221 OBT393221 OLP393221 OVL393221 PFH393221 PPD393221 PYZ393221 QIV393221 QSR393221 RCN393221 RMJ393221 RWF393221 SGB393221 SPX393221 SZT393221 TJP393221 TTL393221 UDH393221 UND393221 UWZ393221 VGV393221 VQR393221 WAN393221 WKJ393221 WUF393221 C458757 HT458757 RP458757 ABL458757 ALH458757 AVD458757 BEZ458757 BOV458757 BYR458757 CIN458757 CSJ458757 DCF458757 DMB458757 DVX458757 EFT458757 EPP458757 EZL458757 FJH458757 FTD458757 GCZ458757 GMV458757 GWR458757 HGN458757 HQJ458757 IAF458757 IKB458757 ITX458757 JDT458757 JNP458757 JXL458757 KHH458757 KRD458757 LAZ458757 LKV458757 LUR458757 MEN458757 MOJ458757 MYF458757 NIB458757 NRX458757 OBT458757 OLP458757 OVL458757 PFH458757 PPD458757 PYZ458757 QIV458757 QSR458757 RCN458757 RMJ458757 RWF458757 SGB458757 SPX458757 SZT458757 TJP458757 TTL458757 UDH458757 UND458757 UWZ458757 VGV458757 VQR458757 WAN458757 WKJ458757 WUF458757 C524293 HT524293 RP524293 ABL524293 ALH524293 AVD524293 BEZ524293 BOV524293 BYR524293 CIN524293 CSJ524293 DCF524293 DMB524293 DVX524293 EFT524293 EPP524293 EZL524293 FJH524293 FTD524293 GCZ524293 GMV524293 GWR524293 HGN524293 HQJ524293 IAF524293 IKB524293 ITX524293 JDT524293 JNP524293 JXL524293 KHH524293 KRD524293 LAZ524293 LKV524293 LUR524293 MEN524293 MOJ524293 MYF524293 NIB524293 NRX524293 OBT524293 OLP524293 OVL524293 PFH524293 PPD524293 PYZ524293 QIV524293 QSR524293 RCN524293 RMJ524293 RWF524293 SGB524293 SPX524293 SZT524293 TJP524293 TTL524293 UDH524293 UND524293 UWZ524293 VGV524293 VQR524293 WAN524293 WKJ524293 WUF524293 C589829 HT589829 RP589829 ABL589829 ALH589829 AVD589829 BEZ589829 BOV589829 BYR589829 CIN589829 CSJ589829 DCF589829 DMB589829 DVX589829 EFT589829 EPP589829 EZL589829 FJH589829 FTD589829 GCZ589829 GMV589829 GWR589829 HGN589829 HQJ589829 IAF589829 IKB589829 ITX589829 JDT589829 JNP589829 JXL589829 KHH589829 KRD589829 LAZ589829 LKV589829 LUR589829 MEN589829 MOJ589829 MYF589829 NIB589829 NRX589829 OBT589829 OLP589829 OVL589829 PFH589829 PPD589829 PYZ589829 QIV589829 QSR589829 RCN589829 RMJ589829 RWF589829 SGB589829 SPX589829 SZT589829 TJP589829 TTL589829 UDH589829 UND589829 UWZ589829 VGV589829 VQR589829 WAN589829 WKJ589829 WUF589829 C655365 HT655365 RP655365 ABL655365 ALH655365 AVD655365 BEZ655365 BOV655365 BYR655365 CIN655365 CSJ655365 DCF655365 DMB655365 DVX655365 EFT655365 EPP655365 EZL655365 FJH655365 FTD655365 GCZ655365 GMV655365 GWR655365 HGN655365 HQJ655365 IAF655365 IKB655365 ITX655365 JDT655365 JNP655365 JXL655365 KHH655365 KRD655365 LAZ655365 LKV655365 LUR655365 MEN655365 MOJ655365 MYF655365 NIB655365 NRX655365 OBT655365 OLP655365 OVL655365 PFH655365 PPD655365 PYZ655365 QIV655365 QSR655365 RCN655365 RMJ655365 RWF655365 SGB655365 SPX655365 SZT655365 TJP655365 TTL655365 UDH655365 UND655365 UWZ655365 VGV655365 VQR655365 WAN655365 WKJ655365 WUF655365 C720901 HT720901 RP720901 ABL720901 ALH720901 AVD720901 BEZ720901 BOV720901 BYR720901 CIN720901 CSJ720901 DCF720901 DMB720901 DVX720901 EFT720901 EPP720901 EZL720901 FJH720901 FTD720901 GCZ720901 GMV720901 GWR720901 HGN720901 HQJ720901 IAF720901 IKB720901 ITX720901 JDT720901 JNP720901 JXL720901 KHH720901 KRD720901 LAZ720901 LKV720901 LUR720901 MEN720901 MOJ720901 MYF720901 NIB720901 NRX720901 OBT720901 OLP720901 OVL720901 PFH720901 PPD720901 PYZ720901 QIV720901 QSR720901 RCN720901 RMJ720901 RWF720901 SGB720901 SPX720901 SZT720901 TJP720901 TTL720901 UDH720901 UND720901 UWZ720901 VGV720901 VQR720901 WAN720901 WKJ720901 WUF720901 C786437 HT786437 RP786437 ABL786437 ALH786437 AVD786437 BEZ786437 BOV786437 BYR786437 CIN786437 CSJ786437 DCF786437 DMB786437 DVX786437 EFT786437 EPP786437 EZL786437 FJH786437 FTD786437 GCZ786437 GMV786437 GWR786437 HGN786437 HQJ786437 IAF786437 IKB786437 ITX786437 JDT786437 JNP786437 JXL786437 KHH786437 KRD786437 LAZ786437 LKV786437 LUR786437 MEN786437 MOJ786437 MYF786437 NIB786437 NRX786437 OBT786437 OLP786437 OVL786437 PFH786437 PPD786437 PYZ786437 QIV786437 QSR786437 RCN786437 RMJ786437 RWF786437 SGB786437 SPX786437 SZT786437 TJP786437 TTL786437 UDH786437 UND786437 UWZ786437 VGV786437 VQR786437 WAN786437 WKJ786437 WUF786437 C851973 HT851973 RP851973 ABL851973 ALH851973 AVD851973 BEZ851973 BOV851973 BYR851973 CIN851973 CSJ851973 DCF851973 DMB851973 DVX851973 EFT851973 EPP851973 EZL851973 FJH851973 FTD851973 GCZ851973 GMV851973 GWR851973 HGN851973 HQJ851973 IAF851973 IKB851973 ITX851973 JDT851973 JNP851973 JXL851973 KHH851973 KRD851973 LAZ851973 LKV851973 LUR851973 MEN851973 MOJ851973 MYF851973 NIB851973 NRX851973 OBT851973 OLP851973 OVL851973 PFH851973 PPD851973 PYZ851973 QIV851973 QSR851973 RCN851973 RMJ851973 RWF851973 SGB851973 SPX851973 SZT851973 TJP851973 TTL851973 UDH851973 UND851973 UWZ851973 VGV851973 VQR851973 WAN851973 WKJ851973 WUF851973 C917509 HT917509 RP917509 ABL917509 ALH917509 AVD917509 BEZ917509 BOV917509 BYR917509 CIN917509 CSJ917509 DCF917509 DMB917509 DVX917509 EFT917509 EPP917509 EZL917509 FJH917509 FTD917509 GCZ917509 GMV917509 GWR917509 HGN917509 HQJ917509 IAF917509 IKB917509 ITX917509 JDT917509 JNP917509 JXL917509 KHH917509 KRD917509 LAZ917509 LKV917509 LUR917509 MEN917509 MOJ917509 MYF917509 NIB917509 NRX917509 OBT917509 OLP917509 OVL917509 PFH917509 PPD917509 PYZ917509 QIV917509 QSR917509 RCN917509 RMJ917509 RWF917509 SGB917509 SPX917509 SZT917509 TJP917509 TTL917509 UDH917509 UND917509 UWZ917509 VGV917509 VQR917509 WAN917509 WKJ917509 WUF917509 C983045 HT983045 RP983045 ABL983045 ALH983045 AVD983045 BEZ983045 BOV983045 BYR983045 CIN983045 CSJ983045 DCF983045 DMB983045 DVX983045 EFT983045 EPP983045 EZL983045 FJH983045 FTD983045 GCZ983045 GMV983045 GWR983045 HGN983045 HQJ983045 IAF983045 IKB983045 ITX983045 JDT983045 JNP983045 JXL983045 KHH983045 KRD983045 LAZ983045 LKV983045 LUR983045 MEN983045 MOJ983045 MYF983045 NIB983045 NRX983045 OBT983045 OLP983045 OVL983045 PFH983045 PPD983045 PYZ983045 QIV983045 QSR983045 RCN983045 RMJ983045 RWF983045 SGB983045 SPX983045 SZT983045 TJP983045 TTL983045 UDH983045 UND983045 UWZ983045 VGV983045 VQR983045 WAN983045 WKJ983045">
      <formula1>Группа</formula1>
    </dataValidation>
    <dataValidation type="list" allowBlank="1" showInputMessage="1" showErrorMessage="1" sqref="WUF983050:WUF983090 C65546:C65586 HT65546:HT65586 RP65546:RP65586 ABL65546:ABL65586 ALH65546:ALH65586 AVD65546:AVD65586 BEZ65546:BEZ65586 BOV65546:BOV65586 BYR65546:BYR65586 CIN65546:CIN65586 CSJ65546:CSJ65586 DCF65546:DCF65586 DMB65546:DMB65586 DVX65546:DVX65586 EFT65546:EFT65586 EPP65546:EPP65586 EZL65546:EZL65586 FJH65546:FJH65586 FTD65546:FTD65586 GCZ65546:GCZ65586 GMV65546:GMV65586 GWR65546:GWR65586 HGN65546:HGN65586 HQJ65546:HQJ65586 IAF65546:IAF65586 IKB65546:IKB65586 ITX65546:ITX65586 JDT65546:JDT65586 JNP65546:JNP65586 JXL65546:JXL65586 KHH65546:KHH65586 KRD65546:KRD65586 LAZ65546:LAZ65586 LKV65546:LKV65586 LUR65546:LUR65586 MEN65546:MEN65586 MOJ65546:MOJ65586 MYF65546:MYF65586 NIB65546:NIB65586 NRX65546:NRX65586 OBT65546:OBT65586 OLP65546:OLP65586 OVL65546:OVL65586 PFH65546:PFH65586 PPD65546:PPD65586 PYZ65546:PYZ65586 QIV65546:QIV65586 QSR65546:QSR65586 RCN65546:RCN65586 RMJ65546:RMJ65586 RWF65546:RWF65586 SGB65546:SGB65586 SPX65546:SPX65586 SZT65546:SZT65586 TJP65546:TJP65586 TTL65546:TTL65586 UDH65546:UDH65586 UND65546:UND65586 UWZ65546:UWZ65586 VGV65546:VGV65586 VQR65546:VQR65586 WAN65546:WAN65586 WKJ65546:WKJ65586 WUF65546:WUF65586 C131082:C131122 HT131082:HT131122 RP131082:RP131122 ABL131082:ABL131122 ALH131082:ALH131122 AVD131082:AVD131122 BEZ131082:BEZ131122 BOV131082:BOV131122 BYR131082:BYR131122 CIN131082:CIN131122 CSJ131082:CSJ131122 DCF131082:DCF131122 DMB131082:DMB131122 DVX131082:DVX131122 EFT131082:EFT131122 EPP131082:EPP131122 EZL131082:EZL131122 FJH131082:FJH131122 FTD131082:FTD131122 GCZ131082:GCZ131122 GMV131082:GMV131122 GWR131082:GWR131122 HGN131082:HGN131122 HQJ131082:HQJ131122 IAF131082:IAF131122 IKB131082:IKB131122 ITX131082:ITX131122 JDT131082:JDT131122 JNP131082:JNP131122 JXL131082:JXL131122 KHH131082:KHH131122 KRD131082:KRD131122 LAZ131082:LAZ131122 LKV131082:LKV131122 LUR131082:LUR131122 MEN131082:MEN131122 MOJ131082:MOJ131122 MYF131082:MYF131122 NIB131082:NIB131122 NRX131082:NRX131122 OBT131082:OBT131122 OLP131082:OLP131122 OVL131082:OVL131122 PFH131082:PFH131122 PPD131082:PPD131122 PYZ131082:PYZ131122 QIV131082:QIV131122 QSR131082:QSR131122 RCN131082:RCN131122 RMJ131082:RMJ131122 RWF131082:RWF131122 SGB131082:SGB131122 SPX131082:SPX131122 SZT131082:SZT131122 TJP131082:TJP131122 TTL131082:TTL131122 UDH131082:UDH131122 UND131082:UND131122 UWZ131082:UWZ131122 VGV131082:VGV131122 VQR131082:VQR131122 WAN131082:WAN131122 WKJ131082:WKJ131122 WUF131082:WUF131122 C196618:C196658 HT196618:HT196658 RP196618:RP196658 ABL196618:ABL196658 ALH196618:ALH196658 AVD196618:AVD196658 BEZ196618:BEZ196658 BOV196618:BOV196658 BYR196618:BYR196658 CIN196618:CIN196658 CSJ196618:CSJ196658 DCF196618:DCF196658 DMB196618:DMB196658 DVX196618:DVX196658 EFT196618:EFT196658 EPP196618:EPP196658 EZL196618:EZL196658 FJH196618:FJH196658 FTD196618:FTD196658 GCZ196618:GCZ196658 GMV196618:GMV196658 GWR196618:GWR196658 HGN196618:HGN196658 HQJ196618:HQJ196658 IAF196618:IAF196658 IKB196618:IKB196658 ITX196618:ITX196658 JDT196618:JDT196658 JNP196618:JNP196658 JXL196618:JXL196658 KHH196618:KHH196658 KRD196618:KRD196658 LAZ196618:LAZ196658 LKV196618:LKV196658 LUR196618:LUR196658 MEN196618:MEN196658 MOJ196618:MOJ196658 MYF196618:MYF196658 NIB196618:NIB196658 NRX196618:NRX196658 OBT196618:OBT196658 OLP196618:OLP196658 OVL196618:OVL196658 PFH196618:PFH196658 PPD196618:PPD196658 PYZ196618:PYZ196658 QIV196618:QIV196658 QSR196618:QSR196658 RCN196618:RCN196658 RMJ196618:RMJ196658 RWF196618:RWF196658 SGB196618:SGB196658 SPX196618:SPX196658 SZT196618:SZT196658 TJP196618:TJP196658 TTL196618:TTL196658 UDH196618:UDH196658 UND196618:UND196658 UWZ196618:UWZ196658 VGV196618:VGV196658 VQR196618:VQR196658 WAN196618:WAN196658 WKJ196618:WKJ196658 WUF196618:WUF196658 C262154:C262194 HT262154:HT262194 RP262154:RP262194 ABL262154:ABL262194 ALH262154:ALH262194 AVD262154:AVD262194 BEZ262154:BEZ262194 BOV262154:BOV262194 BYR262154:BYR262194 CIN262154:CIN262194 CSJ262154:CSJ262194 DCF262154:DCF262194 DMB262154:DMB262194 DVX262154:DVX262194 EFT262154:EFT262194 EPP262154:EPP262194 EZL262154:EZL262194 FJH262154:FJH262194 FTD262154:FTD262194 GCZ262154:GCZ262194 GMV262154:GMV262194 GWR262154:GWR262194 HGN262154:HGN262194 HQJ262154:HQJ262194 IAF262154:IAF262194 IKB262154:IKB262194 ITX262154:ITX262194 JDT262154:JDT262194 JNP262154:JNP262194 JXL262154:JXL262194 KHH262154:KHH262194 KRD262154:KRD262194 LAZ262154:LAZ262194 LKV262154:LKV262194 LUR262154:LUR262194 MEN262154:MEN262194 MOJ262154:MOJ262194 MYF262154:MYF262194 NIB262154:NIB262194 NRX262154:NRX262194 OBT262154:OBT262194 OLP262154:OLP262194 OVL262154:OVL262194 PFH262154:PFH262194 PPD262154:PPD262194 PYZ262154:PYZ262194 QIV262154:QIV262194 QSR262154:QSR262194 RCN262154:RCN262194 RMJ262154:RMJ262194 RWF262154:RWF262194 SGB262154:SGB262194 SPX262154:SPX262194 SZT262154:SZT262194 TJP262154:TJP262194 TTL262154:TTL262194 UDH262154:UDH262194 UND262154:UND262194 UWZ262154:UWZ262194 VGV262154:VGV262194 VQR262154:VQR262194 WAN262154:WAN262194 WKJ262154:WKJ262194 WUF262154:WUF262194 C327690:C327730 HT327690:HT327730 RP327690:RP327730 ABL327690:ABL327730 ALH327690:ALH327730 AVD327690:AVD327730 BEZ327690:BEZ327730 BOV327690:BOV327730 BYR327690:BYR327730 CIN327690:CIN327730 CSJ327690:CSJ327730 DCF327690:DCF327730 DMB327690:DMB327730 DVX327690:DVX327730 EFT327690:EFT327730 EPP327690:EPP327730 EZL327690:EZL327730 FJH327690:FJH327730 FTD327690:FTD327730 GCZ327690:GCZ327730 GMV327690:GMV327730 GWR327690:GWR327730 HGN327690:HGN327730 HQJ327690:HQJ327730 IAF327690:IAF327730 IKB327690:IKB327730 ITX327690:ITX327730 JDT327690:JDT327730 JNP327690:JNP327730 JXL327690:JXL327730 KHH327690:KHH327730 KRD327690:KRD327730 LAZ327690:LAZ327730 LKV327690:LKV327730 LUR327690:LUR327730 MEN327690:MEN327730 MOJ327690:MOJ327730 MYF327690:MYF327730 NIB327690:NIB327730 NRX327690:NRX327730 OBT327690:OBT327730 OLP327690:OLP327730 OVL327690:OVL327730 PFH327690:PFH327730 PPD327690:PPD327730 PYZ327690:PYZ327730 QIV327690:QIV327730 QSR327690:QSR327730 RCN327690:RCN327730 RMJ327690:RMJ327730 RWF327690:RWF327730 SGB327690:SGB327730 SPX327690:SPX327730 SZT327690:SZT327730 TJP327690:TJP327730 TTL327690:TTL327730 UDH327690:UDH327730 UND327690:UND327730 UWZ327690:UWZ327730 VGV327690:VGV327730 VQR327690:VQR327730 WAN327690:WAN327730 WKJ327690:WKJ327730 WUF327690:WUF327730 C393226:C393266 HT393226:HT393266 RP393226:RP393266 ABL393226:ABL393266 ALH393226:ALH393266 AVD393226:AVD393266 BEZ393226:BEZ393266 BOV393226:BOV393266 BYR393226:BYR393266 CIN393226:CIN393266 CSJ393226:CSJ393266 DCF393226:DCF393266 DMB393226:DMB393266 DVX393226:DVX393266 EFT393226:EFT393266 EPP393226:EPP393266 EZL393226:EZL393266 FJH393226:FJH393266 FTD393226:FTD393266 GCZ393226:GCZ393266 GMV393226:GMV393266 GWR393226:GWR393266 HGN393226:HGN393266 HQJ393226:HQJ393266 IAF393226:IAF393266 IKB393226:IKB393266 ITX393226:ITX393266 JDT393226:JDT393266 JNP393226:JNP393266 JXL393226:JXL393266 KHH393226:KHH393266 KRD393226:KRD393266 LAZ393226:LAZ393266 LKV393226:LKV393266 LUR393226:LUR393266 MEN393226:MEN393266 MOJ393226:MOJ393266 MYF393226:MYF393266 NIB393226:NIB393266 NRX393226:NRX393266 OBT393226:OBT393266 OLP393226:OLP393266 OVL393226:OVL393266 PFH393226:PFH393266 PPD393226:PPD393266 PYZ393226:PYZ393266 QIV393226:QIV393266 QSR393226:QSR393266 RCN393226:RCN393266 RMJ393226:RMJ393266 RWF393226:RWF393266 SGB393226:SGB393266 SPX393226:SPX393266 SZT393226:SZT393266 TJP393226:TJP393266 TTL393226:TTL393266 UDH393226:UDH393266 UND393226:UND393266 UWZ393226:UWZ393266 VGV393226:VGV393266 VQR393226:VQR393266 WAN393226:WAN393266 WKJ393226:WKJ393266 WUF393226:WUF393266 C458762:C458802 HT458762:HT458802 RP458762:RP458802 ABL458762:ABL458802 ALH458762:ALH458802 AVD458762:AVD458802 BEZ458762:BEZ458802 BOV458762:BOV458802 BYR458762:BYR458802 CIN458762:CIN458802 CSJ458762:CSJ458802 DCF458762:DCF458802 DMB458762:DMB458802 DVX458762:DVX458802 EFT458762:EFT458802 EPP458762:EPP458802 EZL458762:EZL458802 FJH458762:FJH458802 FTD458762:FTD458802 GCZ458762:GCZ458802 GMV458762:GMV458802 GWR458762:GWR458802 HGN458762:HGN458802 HQJ458762:HQJ458802 IAF458762:IAF458802 IKB458762:IKB458802 ITX458762:ITX458802 JDT458762:JDT458802 JNP458762:JNP458802 JXL458762:JXL458802 KHH458762:KHH458802 KRD458762:KRD458802 LAZ458762:LAZ458802 LKV458762:LKV458802 LUR458762:LUR458802 MEN458762:MEN458802 MOJ458762:MOJ458802 MYF458762:MYF458802 NIB458762:NIB458802 NRX458762:NRX458802 OBT458762:OBT458802 OLP458762:OLP458802 OVL458762:OVL458802 PFH458762:PFH458802 PPD458762:PPD458802 PYZ458762:PYZ458802 QIV458762:QIV458802 QSR458762:QSR458802 RCN458762:RCN458802 RMJ458762:RMJ458802 RWF458762:RWF458802 SGB458762:SGB458802 SPX458762:SPX458802 SZT458762:SZT458802 TJP458762:TJP458802 TTL458762:TTL458802 UDH458762:UDH458802 UND458762:UND458802 UWZ458762:UWZ458802 VGV458762:VGV458802 VQR458762:VQR458802 WAN458762:WAN458802 WKJ458762:WKJ458802 WUF458762:WUF458802 C524298:C524338 HT524298:HT524338 RP524298:RP524338 ABL524298:ABL524338 ALH524298:ALH524338 AVD524298:AVD524338 BEZ524298:BEZ524338 BOV524298:BOV524338 BYR524298:BYR524338 CIN524298:CIN524338 CSJ524298:CSJ524338 DCF524298:DCF524338 DMB524298:DMB524338 DVX524298:DVX524338 EFT524298:EFT524338 EPP524298:EPP524338 EZL524298:EZL524338 FJH524298:FJH524338 FTD524298:FTD524338 GCZ524298:GCZ524338 GMV524298:GMV524338 GWR524298:GWR524338 HGN524298:HGN524338 HQJ524298:HQJ524338 IAF524298:IAF524338 IKB524298:IKB524338 ITX524298:ITX524338 JDT524298:JDT524338 JNP524298:JNP524338 JXL524298:JXL524338 KHH524298:KHH524338 KRD524298:KRD524338 LAZ524298:LAZ524338 LKV524298:LKV524338 LUR524298:LUR524338 MEN524298:MEN524338 MOJ524298:MOJ524338 MYF524298:MYF524338 NIB524298:NIB524338 NRX524298:NRX524338 OBT524298:OBT524338 OLP524298:OLP524338 OVL524298:OVL524338 PFH524298:PFH524338 PPD524298:PPD524338 PYZ524298:PYZ524338 QIV524298:QIV524338 QSR524298:QSR524338 RCN524298:RCN524338 RMJ524298:RMJ524338 RWF524298:RWF524338 SGB524298:SGB524338 SPX524298:SPX524338 SZT524298:SZT524338 TJP524298:TJP524338 TTL524298:TTL524338 UDH524298:UDH524338 UND524298:UND524338 UWZ524298:UWZ524338 VGV524298:VGV524338 VQR524298:VQR524338 WAN524298:WAN524338 WKJ524298:WKJ524338 WUF524298:WUF524338 C589834:C589874 HT589834:HT589874 RP589834:RP589874 ABL589834:ABL589874 ALH589834:ALH589874 AVD589834:AVD589874 BEZ589834:BEZ589874 BOV589834:BOV589874 BYR589834:BYR589874 CIN589834:CIN589874 CSJ589834:CSJ589874 DCF589834:DCF589874 DMB589834:DMB589874 DVX589834:DVX589874 EFT589834:EFT589874 EPP589834:EPP589874 EZL589834:EZL589874 FJH589834:FJH589874 FTD589834:FTD589874 GCZ589834:GCZ589874 GMV589834:GMV589874 GWR589834:GWR589874 HGN589834:HGN589874 HQJ589834:HQJ589874 IAF589834:IAF589874 IKB589834:IKB589874 ITX589834:ITX589874 JDT589834:JDT589874 JNP589834:JNP589874 JXL589834:JXL589874 KHH589834:KHH589874 KRD589834:KRD589874 LAZ589834:LAZ589874 LKV589834:LKV589874 LUR589834:LUR589874 MEN589834:MEN589874 MOJ589834:MOJ589874 MYF589834:MYF589874 NIB589834:NIB589874 NRX589834:NRX589874 OBT589834:OBT589874 OLP589834:OLP589874 OVL589834:OVL589874 PFH589834:PFH589874 PPD589834:PPD589874 PYZ589834:PYZ589874 QIV589834:QIV589874 QSR589834:QSR589874 RCN589834:RCN589874 RMJ589834:RMJ589874 RWF589834:RWF589874 SGB589834:SGB589874 SPX589834:SPX589874 SZT589834:SZT589874 TJP589834:TJP589874 TTL589834:TTL589874 UDH589834:UDH589874 UND589834:UND589874 UWZ589834:UWZ589874 VGV589834:VGV589874 VQR589834:VQR589874 WAN589834:WAN589874 WKJ589834:WKJ589874 WUF589834:WUF589874 C655370:C655410 HT655370:HT655410 RP655370:RP655410 ABL655370:ABL655410 ALH655370:ALH655410 AVD655370:AVD655410 BEZ655370:BEZ655410 BOV655370:BOV655410 BYR655370:BYR655410 CIN655370:CIN655410 CSJ655370:CSJ655410 DCF655370:DCF655410 DMB655370:DMB655410 DVX655370:DVX655410 EFT655370:EFT655410 EPP655370:EPP655410 EZL655370:EZL655410 FJH655370:FJH655410 FTD655370:FTD655410 GCZ655370:GCZ655410 GMV655370:GMV655410 GWR655370:GWR655410 HGN655370:HGN655410 HQJ655370:HQJ655410 IAF655370:IAF655410 IKB655370:IKB655410 ITX655370:ITX655410 JDT655370:JDT655410 JNP655370:JNP655410 JXL655370:JXL655410 KHH655370:KHH655410 KRD655370:KRD655410 LAZ655370:LAZ655410 LKV655370:LKV655410 LUR655370:LUR655410 MEN655370:MEN655410 MOJ655370:MOJ655410 MYF655370:MYF655410 NIB655370:NIB655410 NRX655370:NRX655410 OBT655370:OBT655410 OLP655370:OLP655410 OVL655370:OVL655410 PFH655370:PFH655410 PPD655370:PPD655410 PYZ655370:PYZ655410 QIV655370:QIV655410 QSR655370:QSR655410 RCN655370:RCN655410 RMJ655370:RMJ655410 RWF655370:RWF655410 SGB655370:SGB655410 SPX655370:SPX655410 SZT655370:SZT655410 TJP655370:TJP655410 TTL655370:TTL655410 UDH655370:UDH655410 UND655370:UND655410 UWZ655370:UWZ655410 VGV655370:VGV655410 VQR655370:VQR655410 WAN655370:WAN655410 WKJ655370:WKJ655410 WUF655370:WUF655410 C720906:C720946 HT720906:HT720946 RP720906:RP720946 ABL720906:ABL720946 ALH720906:ALH720946 AVD720906:AVD720946 BEZ720906:BEZ720946 BOV720906:BOV720946 BYR720906:BYR720946 CIN720906:CIN720946 CSJ720906:CSJ720946 DCF720906:DCF720946 DMB720906:DMB720946 DVX720906:DVX720946 EFT720906:EFT720946 EPP720906:EPP720946 EZL720906:EZL720946 FJH720906:FJH720946 FTD720906:FTD720946 GCZ720906:GCZ720946 GMV720906:GMV720946 GWR720906:GWR720946 HGN720906:HGN720946 HQJ720906:HQJ720946 IAF720906:IAF720946 IKB720906:IKB720946 ITX720906:ITX720946 JDT720906:JDT720946 JNP720906:JNP720946 JXL720906:JXL720946 KHH720906:KHH720946 KRD720906:KRD720946 LAZ720906:LAZ720946 LKV720906:LKV720946 LUR720906:LUR720946 MEN720906:MEN720946 MOJ720906:MOJ720946 MYF720906:MYF720946 NIB720906:NIB720946 NRX720906:NRX720946 OBT720906:OBT720946 OLP720906:OLP720946 OVL720906:OVL720946 PFH720906:PFH720946 PPD720906:PPD720946 PYZ720906:PYZ720946 QIV720906:QIV720946 QSR720906:QSR720946 RCN720906:RCN720946 RMJ720906:RMJ720946 RWF720906:RWF720946 SGB720906:SGB720946 SPX720906:SPX720946 SZT720906:SZT720946 TJP720906:TJP720946 TTL720906:TTL720946 UDH720906:UDH720946 UND720906:UND720946 UWZ720906:UWZ720946 VGV720906:VGV720946 VQR720906:VQR720946 WAN720906:WAN720946 WKJ720906:WKJ720946 WUF720906:WUF720946 C786442:C786482 HT786442:HT786482 RP786442:RP786482 ABL786442:ABL786482 ALH786442:ALH786482 AVD786442:AVD786482 BEZ786442:BEZ786482 BOV786442:BOV786482 BYR786442:BYR786482 CIN786442:CIN786482 CSJ786442:CSJ786482 DCF786442:DCF786482 DMB786442:DMB786482 DVX786442:DVX786482 EFT786442:EFT786482 EPP786442:EPP786482 EZL786442:EZL786482 FJH786442:FJH786482 FTD786442:FTD786482 GCZ786442:GCZ786482 GMV786442:GMV786482 GWR786442:GWR786482 HGN786442:HGN786482 HQJ786442:HQJ786482 IAF786442:IAF786482 IKB786442:IKB786482 ITX786442:ITX786482 JDT786442:JDT786482 JNP786442:JNP786482 JXL786442:JXL786482 KHH786442:KHH786482 KRD786442:KRD786482 LAZ786442:LAZ786482 LKV786442:LKV786482 LUR786442:LUR786482 MEN786442:MEN786482 MOJ786442:MOJ786482 MYF786442:MYF786482 NIB786442:NIB786482 NRX786442:NRX786482 OBT786442:OBT786482 OLP786442:OLP786482 OVL786442:OVL786482 PFH786442:PFH786482 PPD786442:PPD786482 PYZ786442:PYZ786482 QIV786442:QIV786482 QSR786442:QSR786482 RCN786442:RCN786482 RMJ786442:RMJ786482 RWF786442:RWF786482 SGB786442:SGB786482 SPX786442:SPX786482 SZT786442:SZT786482 TJP786442:TJP786482 TTL786442:TTL786482 UDH786442:UDH786482 UND786442:UND786482 UWZ786442:UWZ786482 VGV786442:VGV786482 VQR786442:VQR786482 WAN786442:WAN786482 WKJ786442:WKJ786482 WUF786442:WUF786482 C851978:C852018 HT851978:HT852018 RP851978:RP852018 ABL851978:ABL852018 ALH851978:ALH852018 AVD851978:AVD852018 BEZ851978:BEZ852018 BOV851978:BOV852018 BYR851978:BYR852018 CIN851978:CIN852018 CSJ851978:CSJ852018 DCF851978:DCF852018 DMB851978:DMB852018 DVX851978:DVX852018 EFT851978:EFT852018 EPP851978:EPP852018 EZL851978:EZL852018 FJH851978:FJH852018 FTD851978:FTD852018 GCZ851978:GCZ852018 GMV851978:GMV852018 GWR851978:GWR852018 HGN851978:HGN852018 HQJ851978:HQJ852018 IAF851978:IAF852018 IKB851978:IKB852018 ITX851978:ITX852018 JDT851978:JDT852018 JNP851978:JNP852018 JXL851978:JXL852018 KHH851978:KHH852018 KRD851978:KRD852018 LAZ851978:LAZ852018 LKV851978:LKV852018 LUR851978:LUR852018 MEN851978:MEN852018 MOJ851978:MOJ852018 MYF851978:MYF852018 NIB851978:NIB852018 NRX851978:NRX852018 OBT851978:OBT852018 OLP851978:OLP852018 OVL851978:OVL852018 PFH851978:PFH852018 PPD851978:PPD852018 PYZ851978:PYZ852018 QIV851978:QIV852018 QSR851978:QSR852018 RCN851978:RCN852018 RMJ851978:RMJ852018 RWF851978:RWF852018 SGB851978:SGB852018 SPX851978:SPX852018 SZT851978:SZT852018 TJP851978:TJP852018 TTL851978:TTL852018 UDH851978:UDH852018 UND851978:UND852018 UWZ851978:UWZ852018 VGV851978:VGV852018 VQR851978:VQR852018 WAN851978:WAN852018 WKJ851978:WKJ852018 WUF851978:WUF852018 C917514:C917554 HT917514:HT917554 RP917514:RP917554 ABL917514:ABL917554 ALH917514:ALH917554 AVD917514:AVD917554 BEZ917514:BEZ917554 BOV917514:BOV917554 BYR917514:BYR917554 CIN917514:CIN917554 CSJ917514:CSJ917554 DCF917514:DCF917554 DMB917514:DMB917554 DVX917514:DVX917554 EFT917514:EFT917554 EPP917514:EPP917554 EZL917514:EZL917554 FJH917514:FJH917554 FTD917514:FTD917554 GCZ917514:GCZ917554 GMV917514:GMV917554 GWR917514:GWR917554 HGN917514:HGN917554 HQJ917514:HQJ917554 IAF917514:IAF917554 IKB917514:IKB917554 ITX917514:ITX917554 JDT917514:JDT917554 JNP917514:JNP917554 JXL917514:JXL917554 KHH917514:KHH917554 KRD917514:KRD917554 LAZ917514:LAZ917554 LKV917514:LKV917554 LUR917514:LUR917554 MEN917514:MEN917554 MOJ917514:MOJ917554 MYF917514:MYF917554 NIB917514:NIB917554 NRX917514:NRX917554 OBT917514:OBT917554 OLP917514:OLP917554 OVL917514:OVL917554 PFH917514:PFH917554 PPD917514:PPD917554 PYZ917514:PYZ917554 QIV917514:QIV917554 QSR917514:QSR917554 RCN917514:RCN917554 RMJ917514:RMJ917554 RWF917514:RWF917554 SGB917514:SGB917554 SPX917514:SPX917554 SZT917514:SZT917554 TJP917514:TJP917554 TTL917514:TTL917554 UDH917514:UDH917554 UND917514:UND917554 UWZ917514:UWZ917554 VGV917514:VGV917554 VQR917514:VQR917554 WAN917514:WAN917554 WKJ917514:WKJ917554 WUF917514:WUF917554 C983050:C983090 HT983050:HT983090 RP983050:RP983090 ABL983050:ABL983090 ALH983050:ALH983090 AVD983050:AVD983090 BEZ983050:BEZ983090 BOV983050:BOV983090 BYR983050:BYR983090 CIN983050:CIN983090 CSJ983050:CSJ983090 DCF983050:DCF983090 DMB983050:DMB983090 DVX983050:DVX983090 EFT983050:EFT983090 EPP983050:EPP983090 EZL983050:EZL983090 FJH983050:FJH983090 FTD983050:FTD983090 GCZ983050:GCZ983090 GMV983050:GMV983090 GWR983050:GWR983090 HGN983050:HGN983090 HQJ983050:HQJ983090 IAF983050:IAF983090 IKB983050:IKB983090 ITX983050:ITX983090 JDT983050:JDT983090 JNP983050:JNP983090 JXL983050:JXL983090 KHH983050:KHH983090 KRD983050:KRD983090 LAZ983050:LAZ983090 LKV983050:LKV983090 LUR983050:LUR983090 MEN983050:MEN983090 MOJ983050:MOJ983090 MYF983050:MYF983090 NIB983050:NIB983090 NRX983050:NRX983090 OBT983050:OBT983090 OLP983050:OLP983090 OVL983050:OVL983090 PFH983050:PFH983090 PPD983050:PPD983090 PYZ983050:PYZ983090 QIV983050:QIV983090 QSR983050:QSR983090 RCN983050:RCN983090 RMJ983050:RMJ983090 RWF983050:RWF983090 SGB983050:SGB983090 SPX983050:SPX983090 SZT983050:SZT983090 TJP983050:TJP983090 TTL983050:TTL983090 UDH983050:UDH983090 UND983050:UND983090 UWZ983050:UWZ983090 VGV983050:VGV983090 VQR983050:VQR983090 WAN983050:WAN983090 WKJ983050:WKJ983090 C40 WUF10:WUF40 WKJ10:WKJ40 WAN10:WAN40 VQR10:VQR40 VGV10:VGV40 UWZ10:UWZ40 UND10:UND40 UDH10:UDH40 TTL10:TTL40 TJP10:TJP40 SZT10:SZT40 SPX10:SPX40 SGB10:SGB40 RWF10:RWF40 RMJ10:RMJ40 RCN10:RCN40 QSR10:QSR40 QIV10:QIV40 PYZ10:PYZ40 PPD10:PPD40 PFH10:PFH40 OVL10:OVL40 OLP10:OLP40 OBT10:OBT40 NRX10:NRX40 NIB10:NIB40 MYF10:MYF40 MOJ10:MOJ40 MEN10:MEN40 LUR10:LUR40 LKV10:LKV40 LAZ10:LAZ40 KRD10:KRD40 KHH10:KHH40 JXL10:JXL40 JNP10:JNP40 JDT10:JDT40 ITX10:ITX40 IKB10:IKB40 IAF10:IAF40 HQJ10:HQJ40 HGN10:HGN40 GWR10:GWR40 GMV10:GMV40 GCZ10:GCZ40 FTD10:FTD40 FJH10:FJH40 EZL10:EZL40 EPP10:EPP40 EFT10:EFT40 DVX10:DVX40 DMB10:DMB40 DCF10:DCF40 CSJ10:CSJ40 CIN10:CIN40 BYR10:BYR40 BOV10:BOV40 BEZ10:BEZ40 AVD10:AVD40 ALH10:ALH40 ABL10:ABL40 RP10:RP40 HT10:HT40">
      <formula1>Типфиленки</formula1>
    </dataValidation>
    <dataValidation type="list" allowBlank="1" showInputMessage="1" showErrorMessage="1" sqref="C9 HT9 RP9 ABL9 ALH9 AVD9 BEZ9 BOV9 BYR9 CIN9 CSJ9 DCF9 DMB9 DVX9 EFT9 EPP9 EZL9 FJH9 FTD9 GCZ9 GMV9 GWR9 HGN9 HQJ9 IAF9 IKB9 ITX9 JDT9 JNP9 JXL9 KHH9 KRD9 LAZ9 LKV9 LUR9 MEN9 MOJ9 MYF9 NIB9 NRX9 OBT9 OLP9 OVL9 PFH9 PPD9 PYZ9 QIV9 QSR9 RCN9 RMJ9 RWF9 SGB9 SPX9 SZT9 TJP9 TTL9 UDH9 UND9 UWZ9 VGV9 VQR9 WAN9 WKJ9 WUF9 C65545 HT65545 RP65545 ABL65545 ALH65545 AVD65545 BEZ65545 BOV65545 BYR65545 CIN65545 CSJ65545 DCF65545 DMB65545 DVX65545 EFT65545 EPP65545 EZL65545 FJH65545 FTD65545 GCZ65545 GMV65545 GWR65545 HGN65545 HQJ65545 IAF65545 IKB65545 ITX65545 JDT65545 JNP65545 JXL65545 KHH65545 KRD65545 LAZ65545 LKV65545 LUR65545 MEN65545 MOJ65545 MYF65545 NIB65545 NRX65545 OBT65545 OLP65545 OVL65545 PFH65545 PPD65545 PYZ65545 QIV65545 QSR65545 RCN65545 RMJ65545 RWF65545 SGB65545 SPX65545 SZT65545 TJP65545 TTL65545 UDH65545 UND65545 UWZ65545 VGV65545 VQR65545 WAN65545 WKJ65545 WUF65545 C131081 HT131081 RP131081 ABL131081 ALH131081 AVD131081 BEZ131081 BOV131081 BYR131081 CIN131081 CSJ131081 DCF131081 DMB131081 DVX131081 EFT131081 EPP131081 EZL131081 FJH131081 FTD131081 GCZ131081 GMV131081 GWR131081 HGN131081 HQJ131081 IAF131081 IKB131081 ITX131081 JDT131081 JNP131081 JXL131081 KHH131081 KRD131081 LAZ131081 LKV131081 LUR131081 MEN131081 MOJ131081 MYF131081 NIB131081 NRX131081 OBT131081 OLP131081 OVL131081 PFH131081 PPD131081 PYZ131081 QIV131081 QSR131081 RCN131081 RMJ131081 RWF131081 SGB131081 SPX131081 SZT131081 TJP131081 TTL131081 UDH131081 UND131081 UWZ131081 VGV131081 VQR131081 WAN131081 WKJ131081 WUF131081 C196617 HT196617 RP196617 ABL196617 ALH196617 AVD196617 BEZ196617 BOV196617 BYR196617 CIN196617 CSJ196617 DCF196617 DMB196617 DVX196617 EFT196617 EPP196617 EZL196617 FJH196617 FTD196617 GCZ196617 GMV196617 GWR196617 HGN196617 HQJ196617 IAF196617 IKB196617 ITX196617 JDT196617 JNP196617 JXL196617 KHH196617 KRD196617 LAZ196617 LKV196617 LUR196617 MEN196617 MOJ196617 MYF196617 NIB196617 NRX196617 OBT196617 OLP196617 OVL196617 PFH196617 PPD196617 PYZ196617 QIV196617 QSR196617 RCN196617 RMJ196617 RWF196617 SGB196617 SPX196617 SZT196617 TJP196617 TTL196617 UDH196617 UND196617 UWZ196617 VGV196617 VQR196617 WAN196617 WKJ196617 WUF196617 C262153 HT262153 RP262153 ABL262153 ALH262153 AVD262153 BEZ262153 BOV262153 BYR262153 CIN262153 CSJ262153 DCF262153 DMB262153 DVX262153 EFT262153 EPP262153 EZL262153 FJH262153 FTD262153 GCZ262153 GMV262153 GWR262153 HGN262153 HQJ262153 IAF262153 IKB262153 ITX262153 JDT262153 JNP262153 JXL262153 KHH262153 KRD262153 LAZ262153 LKV262153 LUR262153 MEN262153 MOJ262153 MYF262153 NIB262153 NRX262153 OBT262153 OLP262153 OVL262153 PFH262153 PPD262153 PYZ262153 QIV262153 QSR262153 RCN262153 RMJ262153 RWF262153 SGB262153 SPX262153 SZT262153 TJP262153 TTL262153 UDH262153 UND262153 UWZ262153 VGV262153 VQR262153 WAN262153 WKJ262153 WUF262153 C327689 HT327689 RP327689 ABL327689 ALH327689 AVD327689 BEZ327689 BOV327689 BYR327689 CIN327689 CSJ327689 DCF327689 DMB327689 DVX327689 EFT327689 EPP327689 EZL327689 FJH327689 FTD327689 GCZ327689 GMV327689 GWR327689 HGN327689 HQJ327689 IAF327689 IKB327689 ITX327689 JDT327689 JNP327689 JXL327689 KHH327689 KRD327689 LAZ327689 LKV327689 LUR327689 MEN327689 MOJ327689 MYF327689 NIB327689 NRX327689 OBT327689 OLP327689 OVL327689 PFH327689 PPD327689 PYZ327689 QIV327689 QSR327689 RCN327689 RMJ327689 RWF327689 SGB327689 SPX327689 SZT327689 TJP327689 TTL327689 UDH327689 UND327689 UWZ327689 VGV327689 VQR327689 WAN327689 WKJ327689 WUF327689 C393225 HT393225 RP393225 ABL393225 ALH393225 AVD393225 BEZ393225 BOV393225 BYR393225 CIN393225 CSJ393225 DCF393225 DMB393225 DVX393225 EFT393225 EPP393225 EZL393225 FJH393225 FTD393225 GCZ393225 GMV393225 GWR393225 HGN393225 HQJ393225 IAF393225 IKB393225 ITX393225 JDT393225 JNP393225 JXL393225 KHH393225 KRD393225 LAZ393225 LKV393225 LUR393225 MEN393225 MOJ393225 MYF393225 NIB393225 NRX393225 OBT393225 OLP393225 OVL393225 PFH393225 PPD393225 PYZ393225 QIV393225 QSR393225 RCN393225 RMJ393225 RWF393225 SGB393225 SPX393225 SZT393225 TJP393225 TTL393225 UDH393225 UND393225 UWZ393225 VGV393225 VQR393225 WAN393225 WKJ393225 WUF393225 C458761 HT458761 RP458761 ABL458761 ALH458761 AVD458761 BEZ458761 BOV458761 BYR458761 CIN458761 CSJ458761 DCF458761 DMB458761 DVX458761 EFT458761 EPP458761 EZL458761 FJH458761 FTD458761 GCZ458761 GMV458761 GWR458761 HGN458761 HQJ458761 IAF458761 IKB458761 ITX458761 JDT458761 JNP458761 JXL458761 KHH458761 KRD458761 LAZ458761 LKV458761 LUR458761 MEN458761 MOJ458761 MYF458761 NIB458761 NRX458761 OBT458761 OLP458761 OVL458761 PFH458761 PPD458761 PYZ458761 QIV458761 QSR458761 RCN458761 RMJ458761 RWF458761 SGB458761 SPX458761 SZT458761 TJP458761 TTL458761 UDH458761 UND458761 UWZ458761 VGV458761 VQR458761 WAN458761 WKJ458761 WUF458761 C524297 HT524297 RP524297 ABL524297 ALH524297 AVD524297 BEZ524297 BOV524297 BYR524297 CIN524297 CSJ524297 DCF524297 DMB524297 DVX524297 EFT524297 EPP524297 EZL524297 FJH524297 FTD524297 GCZ524297 GMV524297 GWR524297 HGN524297 HQJ524297 IAF524297 IKB524297 ITX524297 JDT524297 JNP524297 JXL524297 KHH524297 KRD524297 LAZ524297 LKV524297 LUR524297 MEN524297 MOJ524297 MYF524297 NIB524297 NRX524297 OBT524297 OLP524297 OVL524297 PFH524297 PPD524297 PYZ524297 QIV524297 QSR524297 RCN524297 RMJ524297 RWF524297 SGB524297 SPX524297 SZT524297 TJP524297 TTL524297 UDH524297 UND524297 UWZ524297 VGV524297 VQR524297 WAN524297 WKJ524297 WUF524297 C589833 HT589833 RP589833 ABL589833 ALH589833 AVD589833 BEZ589833 BOV589833 BYR589833 CIN589833 CSJ589833 DCF589833 DMB589833 DVX589833 EFT589833 EPP589833 EZL589833 FJH589833 FTD589833 GCZ589833 GMV589833 GWR589833 HGN589833 HQJ589833 IAF589833 IKB589833 ITX589833 JDT589833 JNP589833 JXL589833 KHH589833 KRD589833 LAZ589833 LKV589833 LUR589833 MEN589833 MOJ589833 MYF589833 NIB589833 NRX589833 OBT589833 OLP589833 OVL589833 PFH589833 PPD589833 PYZ589833 QIV589833 QSR589833 RCN589833 RMJ589833 RWF589833 SGB589833 SPX589833 SZT589833 TJP589833 TTL589833 UDH589833 UND589833 UWZ589833 VGV589833 VQR589833 WAN589833 WKJ589833 WUF589833 C655369 HT655369 RP655369 ABL655369 ALH655369 AVD655369 BEZ655369 BOV655369 BYR655369 CIN655369 CSJ655369 DCF655369 DMB655369 DVX655369 EFT655369 EPP655369 EZL655369 FJH655369 FTD655369 GCZ655369 GMV655369 GWR655369 HGN655369 HQJ655369 IAF655369 IKB655369 ITX655369 JDT655369 JNP655369 JXL655369 KHH655369 KRD655369 LAZ655369 LKV655369 LUR655369 MEN655369 MOJ655369 MYF655369 NIB655369 NRX655369 OBT655369 OLP655369 OVL655369 PFH655369 PPD655369 PYZ655369 QIV655369 QSR655369 RCN655369 RMJ655369 RWF655369 SGB655369 SPX655369 SZT655369 TJP655369 TTL655369 UDH655369 UND655369 UWZ655369 VGV655369 VQR655369 WAN655369 WKJ655369 WUF655369 C720905 HT720905 RP720905 ABL720905 ALH720905 AVD720905 BEZ720905 BOV720905 BYR720905 CIN720905 CSJ720905 DCF720905 DMB720905 DVX720905 EFT720905 EPP720905 EZL720905 FJH720905 FTD720905 GCZ720905 GMV720905 GWR720905 HGN720905 HQJ720905 IAF720905 IKB720905 ITX720905 JDT720905 JNP720905 JXL720905 KHH720905 KRD720905 LAZ720905 LKV720905 LUR720905 MEN720905 MOJ720905 MYF720905 NIB720905 NRX720905 OBT720905 OLP720905 OVL720905 PFH720905 PPD720905 PYZ720905 QIV720905 QSR720905 RCN720905 RMJ720905 RWF720905 SGB720905 SPX720905 SZT720905 TJP720905 TTL720905 UDH720905 UND720905 UWZ720905 VGV720905 VQR720905 WAN720905 WKJ720905 WUF720905 C786441 HT786441 RP786441 ABL786441 ALH786441 AVD786441 BEZ786441 BOV786441 BYR786441 CIN786441 CSJ786441 DCF786441 DMB786441 DVX786441 EFT786441 EPP786441 EZL786441 FJH786441 FTD786441 GCZ786441 GMV786441 GWR786441 HGN786441 HQJ786441 IAF786441 IKB786441 ITX786441 JDT786441 JNP786441 JXL786441 KHH786441 KRD786441 LAZ786441 LKV786441 LUR786441 MEN786441 MOJ786441 MYF786441 NIB786441 NRX786441 OBT786441 OLP786441 OVL786441 PFH786441 PPD786441 PYZ786441 QIV786441 QSR786441 RCN786441 RMJ786441 RWF786441 SGB786441 SPX786441 SZT786441 TJP786441 TTL786441 UDH786441 UND786441 UWZ786441 VGV786441 VQR786441 WAN786441 WKJ786441 WUF786441 C851977 HT851977 RP851977 ABL851977 ALH851977 AVD851977 BEZ851977 BOV851977 BYR851977 CIN851977 CSJ851977 DCF851977 DMB851977 DVX851977 EFT851977 EPP851977 EZL851977 FJH851977 FTD851977 GCZ851977 GMV851977 GWR851977 HGN851977 HQJ851977 IAF851977 IKB851977 ITX851977 JDT851977 JNP851977 JXL851977 KHH851977 KRD851977 LAZ851977 LKV851977 LUR851977 MEN851977 MOJ851977 MYF851977 NIB851977 NRX851977 OBT851977 OLP851977 OVL851977 PFH851977 PPD851977 PYZ851977 QIV851977 QSR851977 RCN851977 RMJ851977 RWF851977 SGB851977 SPX851977 SZT851977 TJP851977 TTL851977 UDH851977 UND851977 UWZ851977 VGV851977 VQR851977 WAN851977 WKJ851977 WUF851977 C917513 HT917513 RP917513 ABL917513 ALH917513 AVD917513 BEZ917513 BOV917513 BYR917513 CIN917513 CSJ917513 DCF917513 DMB917513 DVX917513 EFT917513 EPP917513 EZL917513 FJH917513 FTD917513 GCZ917513 GMV917513 GWR917513 HGN917513 HQJ917513 IAF917513 IKB917513 ITX917513 JDT917513 JNP917513 JXL917513 KHH917513 KRD917513 LAZ917513 LKV917513 LUR917513 MEN917513 MOJ917513 MYF917513 NIB917513 NRX917513 OBT917513 OLP917513 OVL917513 PFH917513 PPD917513 PYZ917513 QIV917513 QSR917513 RCN917513 RMJ917513 RWF917513 SGB917513 SPX917513 SZT917513 TJP917513 TTL917513 UDH917513 UND917513 UWZ917513 VGV917513 VQR917513 WAN917513 WKJ917513 WUF917513 C983049 HT983049 RP983049 ABL983049 ALH983049 AVD983049 BEZ983049 BOV983049 BYR983049 CIN983049 CSJ983049 DCF983049 DMB983049 DVX983049 EFT983049 EPP983049 EZL983049 FJH983049 FTD983049 GCZ983049 GMV983049 GWR983049 HGN983049 HQJ983049 IAF983049 IKB983049 ITX983049 JDT983049 JNP983049 JXL983049 KHH983049 KRD983049 LAZ983049 LKV983049 LUR983049 MEN983049 MOJ983049 MYF983049 NIB983049 NRX983049 OBT983049 OLP983049 OVL983049 PFH983049 PPD983049 PYZ983049 QIV983049 QSR983049 RCN983049 RMJ983049 RWF983049 SGB983049 SPX983049 SZT983049 TJP983049 TTL983049 UDH983049 UND983049 UWZ983049 VGV983049 VQR983049 WAN983049 WKJ983049 WUF983049">
      <formula1>"типфиленки"</formula1>
    </dataValidation>
    <dataValidation type="list" allowBlank="1" showInputMessage="1" showErrorMessage="1" sqref="C10:C37">
      <formula1>$R$11:$R$14</formula1>
    </dataValidation>
    <dataValidation type="list" allowBlank="1" showInputMessage="1" showErrorMessage="1" sqref="G38:G39">
      <formula1>IF(C38="Гладкий",$BB$10:$BB$21,IF(OR(C38="3-х элем",C38="Витрина"),($BC$10:$BC$20),IF(C38="5-ти элем",($BD$10:$BD$19),0)))</formula1>
    </dataValidation>
    <dataValidation type="list" allowBlank="1" showInputMessage="1" showErrorMessage="1" sqref="G10:G37">
      <formula1>IF(C10="Гладкий",$BB$10:$BB$21,IF(OR(C10="3-х элем",C10="Витрина"),($BC$10:$BC$21),IF(C10="5-ти элем",($BD$10:$BD$20),0)))</formula1>
    </dataValidation>
  </dataValidations>
  <pageMargins left="0.25" right="0.25"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3"/>
  <sheetViews>
    <sheetView topLeftCell="AZ1" workbookViewId="0">
      <selection activeCell="BJ16" sqref="BJ16"/>
    </sheetView>
  </sheetViews>
  <sheetFormatPr defaultColWidth="15.85546875" defaultRowHeight="15" x14ac:dyDescent="0.25"/>
  <cols>
    <col min="1" max="8" width="11.85546875" style="2" hidden="1" customWidth="1"/>
    <col min="9" max="9" width="3.7109375" style="2" hidden="1" customWidth="1"/>
    <col min="10" max="12" width="0" style="2" hidden="1" customWidth="1"/>
    <col min="13" max="13" width="3.85546875" style="2" hidden="1" customWidth="1"/>
    <col min="14" max="14" width="9.5703125" style="2" hidden="1" customWidth="1"/>
    <col min="15" max="15" width="3.85546875" style="2" hidden="1" customWidth="1"/>
    <col min="16" max="16" width="7.5703125" style="2" hidden="1" customWidth="1"/>
    <col min="17" max="20" width="9" style="2" hidden="1" customWidth="1"/>
    <col min="21" max="21" width="13.28515625" style="2" hidden="1" customWidth="1"/>
    <col min="22" max="24" width="8.85546875" style="2" hidden="1" customWidth="1"/>
    <col min="25" max="25" width="10" style="2" hidden="1" customWidth="1"/>
    <col min="26" max="40" width="13.28515625" style="2" hidden="1" customWidth="1"/>
    <col min="41" max="41" width="13.28515625" style="1" hidden="1" customWidth="1"/>
    <col min="42" max="42" width="13.28515625" style="16" hidden="1" customWidth="1"/>
    <col min="43" max="44" width="13.28515625" style="2" hidden="1" customWidth="1"/>
    <col min="45" max="45" width="0" style="77" hidden="1" customWidth="1"/>
    <col min="46" max="51" width="0" style="2" hidden="1" customWidth="1"/>
    <col min="52" max="16384" width="15.85546875" style="2"/>
  </cols>
  <sheetData>
    <row r="1" spans="1:51" s="3" customFormat="1" ht="15" customHeight="1" thickBot="1" x14ac:dyDescent="0.3">
      <c r="A1" s="337" t="s">
        <v>35</v>
      </c>
      <c r="B1" s="337"/>
      <c r="C1" s="337"/>
      <c r="D1" s="337"/>
      <c r="E1" s="337"/>
      <c r="F1" s="337"/>
      <c r="G1" s="337"/>
      <c r="H1" s="337"/>
      <c r="I1" s="142"/>
      <c r="J1" s="143"/>
      <c r="K1" s="143"/>
      <c r="L1" s="143"/>
      <c r="M1" s="143"/>
      <c r="N1" s="143"/>
      <c r="O1" s="143"/>
      <c r="P1" s="168"/>
      <c r="Q1" s="330"/>
      <c r="R1" s="330"/>
      <c r="S1" s="330"/>
      <c r="T1" s="330"/>
      <c r="U1" s="330"/>
      <c r="V1" s="169"/>
      <c r="W1" s="169"/>
      <c r="X1" s="169"/>
      <c r="Y1" s="170"/>
      <c r="Z1" s="168"/>
      <c r="AA1" s="168"/>
      <c r="AB1" s="170"/>
      <c r="AC1" s="170"/>
      <c r="AD1" s="170"/>
      <c r="AE1" s="170"/>
      <c r="AF1" s="168"/>
      <c r="AG1" s="334" t="s">
        <v>7</v>
      </c>
      <c r="AH1" s="334"/>
      <c r="AI1" s="334"/>
      <c r="AJ1" s="334"/>
      <c r="AK1" s="327" t="s">
        <v>48</v>
      </c>
      <c r="AL1" s="328"/>
      <c r="AM1" s="328"/>
      <c r="AN1" s="328"/>
      <c r="AO1" s="171"/>
      <c r="AP1" s="172"/>
      <c r="AQ1" s="168"/>
      <c r="AR1" s="168"/>
      <c r="AS1" s="173"/>
      <c r="AT1" s="168"/>
      <c r="AU1" s="168"/>
      <c r="AV1" s="168"/>
      <c r="AW1" s="168"/>
      <c r="AX1" s="168"/>
      <c r="AY1" s="137"/>
    </row>
    <row r="2" spans="1:51" s="3" customFormat="1" ht="27.75" customHeight="1" thickBot="1" x14ac:dyDescent="0.3">
      <c r="A2" s="337"/>
      <c r="B2" s="337"/>
      <c r="C2" s="337"/>
      <c r="D2" s="337"/>
      <c r="E2" s="337"/>
      <c r="F2" s="337"/>
      <c r="G2" s="337"/>
      <c r="H2" s="337"/>
      <c r="I2" s="142"/>
      <c r="J2" s="329" t="s">
        <v>22</v>
      </c>
      <c r="K2" s="329"/>
      <c r="L2" s="329"/>
      <c r="M2" s="169"/>
      <c r="N2" s="169"/>
      <c r="O2" s="169"/>
      <c r="P2" s="168"/>
      <c r="Q2" s="174" t="s">
        <v>5</v>
      </c>
      <c r="R2" s="174" t="s">
        <v>2</v>
      </c>
      <c r="S2" s="174" t="s">
        <v>3</v>
      </c>
      <c r="T2" s="174" t="s">
        <v>6</v>
      </c>
      <c r="U2" s="175" t="s">
        <v>11</v>
      </c>
      <c r="V2" s="175" t="s">
        <v>25</v>
      </c>
      <c r="W2" s="175" t="s">
        <v>37</v>
      </c>
      <c r="X2" s="175" t="s">
        <v>41</v>
      </c>
      <c r="Y2" s="175" t="s">
        <v>20</v>
      </c>
      <c r="Z2" s="175"/>
      <c r="AA2" s="174" t="s">
        <v>2</v>
      </c>
      <c r="AB2" s="174" t="s">
        <v>3</v>
      </c>
      <c r="AC2" s="175" t="s">
        <v>0</v>
      </c>
      <c r="AD2" s="175" t="s">
        <v>42</v>
      </c>
      <c r="AE2" s="175" t="s">
        <v>18</v>
      </c>
      <c r="AF2" s="175" t="s">
        <v>19</v>
      </c>
      <c r="AG2" s="175" t="s">
        <v>8</v>
      </c>
      <c r="AH2" s="175" t="s">
        <v>9</v>
      </c>
      <c r="AI2" s="175" t="s">
        <v>10</v>
      </c>
      <c r="AJ2" s="176" t="s">
        <v>16</v>
      </c>
      <c r="AK2" s="177" t="s">
        <v>2</v>
      </c>
      <c r="AL2" s="178" t="s">
        <v>2</v>
      </c>
      <c r="AM2" s="178" t="s">
        <v>3</v>
      </c>
      <c r="AN2" s="179" t="s">
        <v>3</v>
      </c>
      <c r="AO2" s="180" t="s">
        <v>50</v>
      </c>
      <c r="AP2" s="172"/>
      <c r="AQ2" s="168"/>
      <c r="AR2" s="168"/>
      <c r="AS2" s="173" t="s">
        <v>160</v>
      </c>
      <c r="AT2" s="168"/>
      <c r="AU2" s="169" t="s">
        <v>43</v>
      </c>
      <c r="AV2" s="168"/>
      <c r="AW2" s="168"/>
      <c r="AX2" s="168"/>
      <c r="AY2" s="137"/>
    </row>
    <row r="3" spans="1:51" s="3" customFormat="1" ht="15.75" thickBot="1" x14ac:dyDescent="0.3">
      <c r="A3" s="144" t="s">
        <v>85</v>
      </c>
      <c r="B3" s="145"/>
      <c r="C3" s="144"/>
      <c r="D3" s="144"/>
      <c r="E3" s="144"/>
      <c r="F3" s="144"/>
      <c r="G3" s="144"/>
      <c r="H3" s="144"/>
      <c r="I3" s="144"/>
      <c r="J3" s="181">
        <v>1</v>
      </c>
      <c r="K3" s="182" t="s">
        <v>21</v>
      </c>
      <c r="L3" s="183">
        <f>SUM(AG3:AG92)</f>
        <v>0</v>
      </c>
      <c r="M3" s="172"/>
      <c r="N3" s="184" t="s">
        <v>26</v>
      </c>
      <c r="O3" s="184"/>
      <c r="P3" s="184"/>
      <c r="Q3" s="321">
        <v>1</v>
      </c>
      <c r="R3" s="318">
        <f>Бланк!B14</f>
        <v>0</v>
      </c>
      <c r="S3" s="318">
        <f>Бланк!C14</f>
        <v>0</v>
      </c>
      <c r="T3" s="318">
        <f>Бланк!D14</f>
        <v>0</v>
      </c>
      <c r="U3" s="318">
        <f>Бланк!E14</f>
        <v>0</v>
      </c>
      <c r="V3" s="318">
        <f>IF(E14="Гладкий",0,(1*D14))</f>
        <v>0</v>
      </c>
      <c r="W3" s="318">
        <f>Бланк!F14</f>
        <v>18</v>
      </c>
      <c r="X3" s="318">
        <f>Бланк!G14</f>
        <v>0</v>
      </c>
      <c r="Y3" s="185">
        <f>W3</f>
        <v>18</v>
      </c>
      <c r="Z3" s="186" t="s">
        <v>14</v>
      </c>
      <c r="AA3" s="185">
        <f>R3</f>
        <v>0</v>
      </c>
      <c r="AB3" s="185">
        <f>IF(U3="Гладкий",S3,164)</f>
        <v>164</v>
      </c>
      <c r="AC3" s="185">
        <f>IF(AA3&gt;0,T3,0)</f>
        <v>0</v>
      </c>
      <c r="AD3" s="185">
        <f>H14</f>
        <v>0</v>
      </c>
      <c r="AE3" s="324">
        <f>IF(U3="Гладкий",0,((R3+S3)*2*T3/1000))</f>
        <v>0</v>
      </c>
      <c r="AF3" s="187">
        <f>IF(U3="Гладкий",((AA3+AB3)*2*AC3/1000),(AA3*2*AC3/1000))</f>
        <v>0</v>
      </c>
      <c r="AG3" s="187">
        <f>IF(U3="5-ти элем",((AA3+AB3)*2+AA3)*AC3/1000,IF(U3="Витрина",((AA3+AB3)*2+AA3)*AC3/1000,IF(U3="3-х элем",((AA3+AB3)*2+AA3)*AC3/1000,IF(U3="Гладкий",(AA3+AB3)*2*AC3/1000,0))))</f>
        <v>0</v>
      </c>
      <c r="AH3" s="185">
        <f>IF(U3="5-ти элем",(AA3*2*2*AC3/1000),IF(U3="витрина",(AA3*2*AC3/1000),0))</f>
        <v>0</v>
      </c>
      <c r="AI3" s="185">
        <f>IF(U3="5-ти элем",(16*T3),IF(U3="3-х элем",(12*T3),IF(U3="витрина",(16*T3),0)))</f>
        <v>0</v>
      </c>
      <c r="AJ3" s="188">
        <f>AF3+AE3</f>
        <v>0</v>
      </c>
      <c r="AK3" s="189">
        <f>AD3</f>
        <v>0</v>
      </c>
      <c r="AL3" s="185">
        <f>AK3</f>
        <v>0</v>
      </c>
      <c r="AM3" s="185">
        <f>IF(U3="Гладкий",AK3, 0)</f>
        <v>0</v>
      </c>
      <c r="AN3" s="190">
        <f>IF(U3="Гладкий",AK3, 0)</f>
        <v>0</v>
      </c>
      <c r="AO3" s="191">
        <f>IF(U3="5-ти элем","Paz 8 mm",IF(U3="витрина","Paz 4 mm",0))</f>
        <v>0</v>
      </c>
      <c r="AP3" s="172">
        <f>(AA3*AB3*AC3)/1000000</f>
        <v>0</v>
      </c>
      <c r="AQ3" s="168">
        <f>AD3</f>
        <v>0</v>
      </c>
      <c r="AR3" s="172">
        <f>AF3+AF4+AE3</f>
        <v>0</v>
      </c>
      <c r="AS3" s="173" t="s">
        <v>161</v>
      </c>
      <c r="AT3" s="168"/>
      <c r="AU3" s="169" t="s">
        <v>44</v>
      </c>
      <c r="AV3" s="168" t="s">
        <v>49</v>
      </c>
      <c r="AW3" s="168"/>
      <c r="AX3" s="168"/>
      <c r="AY3" s="137"/>
    </row>
    <row r="4" spans="1:51" s="3" customFormat="1" x14ac:dyDescent="0.25">
      <c r="A4" s="146" t="s">
        <v>27</v>
      </c>
      <c r="B4" s="144"/>
      <c r="C4" s="147"/>
      <c r="D4" s="144"/>
      <c r="E4" s="144"/>
      <c r="F4" s="144"/>
      <c r="G4" s="144"/>
      <c r="H4" s="144"/>
      <c r="I4" s="144"/>
      <c r="J4" s="181">
        <v>2</v>
      </c>
      <c r="K4" s="182" t="s">
        <v>23</v>
      </c>
      <c r="L4" s="183">
        <f>SUM(AJ3:AJ92)</f>
        <v>0</v>
      </c>
      <c r="M4" s="172"/>
      <c r="N4" s="168" t="s">
        <v>80</v>
      </c>
      <c r="O4" s="168"/>
      <c r="P4" s="184" t="s">
        <v>38</v>
      </c>
      <c r="Q4" s="322"/>
      <c r="R4" s="319"/>
      <c r="S4" s="319"/>
      <c r="T4" s="319"/>
      <c r="U4" s="319"/>
      <c r="V4" s="319"/>
      <c r="W4" s="319"/>
      <c r="X4" s="319"/>
      <c r="Y4" s="181">
        <f>W3</f>
        <v>18</v>
      </c>
      <c r="Z4" s="192" t="s">
        <v>15</v>
      </c>
      <c r="AA4" s="181">
        <f>IF(U3="5-ти элем",(S3-160),IF(U3="витрина",(S3-160),IF(U3="3-х элем",(S3-160),0)))</f>
        <v>0</v>
      </c>
      <c r="AB4" s="181">
        <f>IF(U3="5-ти элем",164,IF(U3="витрина",164,IF(U3="3-х элем",R3,0)))</f>
        <v>0</v>
      </c>
      <c r="AC4" s="185">
        <f>IF(AA4&gt;0,T3,0)</f>
        <v>0</v>
      </c>
      <c r="AD4" s="181">
        <f>H14</f>
        <v>0</v>
      </c>
      <c r="AE4" s="325"/>
      <c r="AF4" s="193">
        <f>IF(U3="3-х элем",(AB4*2*AC4/1000),IF(U3="5-ти элем",((AA4+AB4)*2*AC4/1000),IF(U3="витрина",((AA4+AB4)*2*AC4/1000),0)))</f>
        <v>0</v>
      </c>
      <c r="AG4" s="187">
        <f>IF(U3="5-ти элем",((AA4+AB4)*2+AA4)*AC4/1000,IF(U3="Витрина",((AA4+AB4)*2+AA4)*AC4/1000,IF(U3="3-х элем",(AA4+AB4)*2*AC4/1000,0)))</f>
        <v>0</v>
      </c>
      <c r="AH4" s="193">
        <f>IF(U3="5-ти элем",(AA4*2*2*AC4/1000),IF(U3="витрина",(AA4*2*AC4/1000),0))</f>
        <v>0</v>
      </c>
      <c r="AI4" s="181"/>
      <c r="AJ4" s="194">
        <f>AF4</f>
        <v>0</v>
      </c>
      <c r="AK4" s="195">
        <f>IF(U3="5-ти элем",AK3,IF(U3="витрина",AK3,0))</f>
        <v>0</v>
      </c>
      <c r="AL4" s="181">
        <f>IF(U3="5-ти элем",AK3,IF(U3="витрина",AK3,0))</f>
        <v>0</v>
      </c>
      <c r="AM4" s="181">
        <f>IF(U3="Гладкий", 0,AK3)</f>
        <v>0</v>
      </c>
      <c r="AN4" s="196">
        <f>IF(U3="Гладкий", 0,AK3)</f>
        <v>0</v>
      </c>
      <c r="AO4" s="197">
        <f>IF(U3="5-ти элем","Paz 8 mm",IF(U3="витрина","Paz 4 mm",0))</f>
        <v>0</v>
      </c>
      <c r="AP4" s="172">
        <f>(AA4*AB4*AC4)/1000000</f>
        <v>0</v>
      </c>
      <c r="AQ4" s="168">
        <f t="shared" ref="AQ4:AQ67" si="0">AD4</f>
        <v>0</v>
      </c>
      <c r="AR4" s="172"/>
      <c r="AS4" s="173" t="s">
        <v>162</v>
      </c>
      <c r="AT4" s="168"/>
      <c r="AU4" s="198" t="s">
        <v>45</v>
      </c>
      <c r="AV4" s="168"/>
      <c r="AW4" s="168"/>
      <c r="AX4" s="168"/>
      <c r="AY4" s="137"/>
    </row>
    <row r="5" spans="1:51" s="3" customFormat="1" ht="15.75" thickBot="1" x14ac:dyDescent="0.3">
      <c r="A5" s="146" t="s">
        <v>28</v>
      </c>
      <c r="B5" s="144"/>
      <c r="C5" s="147"/>
      <c r="D5" s="144"/>
      <c r="E5" s="144"/>
      <c r="F5" s="144"/>
      <c r="G5" s="144"/>
      <c r="H5" s="144"/>
      <c r="I5" s="144"/>
      <c r="J5" s="181">
        <v>3</v>
      </c>
      <c r="K5" s="182" t="s">
        <v>4</v>
      </c>
      <c r="L5" s="183">
        <f>SUM(AH3:AH92)</f>
        <v>0</v>
      </c>
      <c r="M5" s="172"/>
      <c r="N5" s="168" t="s">
        <v>12</v>
      </c>
      <c r="O5" s="168"/>
      <c r="P5" s="184" t="s">
        <v>39</v>
      </c>
      <c r="Q5" s="323"/>
      <c r="R5" s="320"/>
      <c r="S5" s="320"/>
      <c r="T5" s="320"/>
      <c r="U5" s="320"/>
      <c r="V5" s="320"/>
      <c r="W5" s="320"/>
      <c r="X5" s="320"/>
      <c r="Y5" s="199">
        <f>X3</f>
        <v>0</v>
      </c>
      <c r="Z5" s="200" t="s">
        <v>1</v>
      </c>
      <c r="AA5" s="199">
        <f>IF(U3="5-ти элем",(R3-160+19),IF(U3="витрина",(R3-160+19),0))</f>
        <v>0</v>
      </c>
      <c r="AB5" s="199">
        <f>IF(U3="5-ти элем",(S3-160+19),IF(U3="витрина",(S3-160+19),0))</f>
        <v>0</v>
      </c>
      <c r="AC5" s="199">
        <f>IF(U3="Гладкий",0,IF(U3="3-х элем",0,T3))</f>
        <v>0</v>
      </c>
      <c r="AD5" s="199">
        <f>IF(E14="Витрина","Стекло",H14)</f>
        <v>0</v>
      </c>
      <c r="AE5" s="326"/>
      <c r="AF5" s="199"/>
      <c r="AG5" s="201">
        <f>IF(Y5=8,(AA5+AB5)*2*AC5/1000,0)</f>
        <v>0</v>
      </c>
      <c r="AH5" s="201">
        <v>0</v>
      </c>
      <c r="AI5" s="199"/>
      <c r="AJ5" s="202"/>
      <c r="AK5" s="203">
        <v>0</v>
      </c>
      <c r="AL5" s="199">
        <v>0</v>
      </c>
      <c r="AM5" s="199">
        <v>0</v>
      </c>
      <c r="AN5" s="202">
        <v>0</v>
      </c>
      <c r="AO5" s="204"/>
      <c r="AP5" s="172">
        <f>IF(AD5="Стекло",0,(AA5*AB5*AC5/1000000))</f>
        <v>0</v>
      </c>
      <c r="AQ5" s="168">
        <f t="shared" si="0"/>
        <v>0</v>
      </c>
      <c r="AR5" s="172"/>
      <c r="AS5" s="173" t="s">
        <v>163</v>
      </c>
      <c r="AT5" s="168"/>
      <c r="AU5" s="198" t="s">
        <v>46</v>
      </c>
      <c r="AV5" s="168"/>
      <c r="AW5" s="168"/>
      <c r="AX5" s="168"/>
      <c r="AY5" s="137"/>
    </row>
    <row r="6" spans="1:51" s="3" customFormat="1" ht="15.75" thickBot="1" x14ac:dyDescent="0.3">
      <c r="A6" s="342" t="s">
        <v>29</v>
      </c>
      <c r="B6" s="343"/>
      <c r="C6" s="344"/>
      <c r="D6" s="184"/>
      <c r="E6" s="184"/>
      <c r="F6" s="354"/>
      <c r="G6" s="354"/>
      <c r="H6" s="144"/>
      <c r="I6" s="144"/>
      <c r="J6" s="181">
        <v>4</v>
      </c>
      <c r="K6" s="182" t="s">
        <v>24</v>
      </c>
      <c r="L6" s="183">
        <f>SUM(AI3:AI92)</f>
        <v>0</v>
      </c>
      <c r="M6" s="172"/>
      <c r="N6" s="168" t="s">
        <v>13</v>
      </c>
      <c r="O6" s="205"/>
      <c r="P6" s="184" t="s">
        <v>40</v>
      </c>
      <c r="Q6" s="321">
        <v>2</v>
      </c>
      <c r="R6" s="318">
        <f>Бланк!B15</f>
        <v>0</v>
      </c>
      <c r="S6" s="318">
        <f>Бланк!C15</f>
        <v>0</v>
      </c>
      <c r="T6" s="318">
        <f>Бланк!D15</f>
        <v>0</v>
      </c>
      <c r="U6" s="318">
        <f>Бланк!E15</f>
        <v>0</v>
      </c>
      <c r="V6" s="318">
        <f>IF(E15="Гладкий",0,(1*D15))</f>
        <v>0</v>
      </c>
      <c r="W6" s="318">
        <f>Бланк!F15</f>
        <v>18</v>
      </c>
      <c r="X6" s="318">
        <f>Бланк!G15</f>
        <v>0</v>
      </c>
      <c r="Y6" s="185">
        <f>W6</f>
        <v>18</v>
      </c>
      <c r="Z6" s="186" t="s">
        <v>14</v>
      </c>
      <c r="AA6" s="185">
        <f>R6</f>
        <v>0</v>
      </c>
      <c r="AB6" s="185">
        <f>IF(U6="Гладкий",S6,164)</f>
        <v>164</v>
      </c>
      <c r="AC6" s="185">
        <f t="shared" ref="AC6" si="1">IF(AA6&gt;0,T6,0)</f>
        <v>0</v>
      </c>
      <c r="AD6" s="185">
        <f>H15</f>
        <v>0</v>
      </c>
      <c r="AE6" s="324">
        <f>IF(U6="Гладкий",0,((R6+S6)*2*T6/1000))</f>
        <v>0</v>
      </c>
      <c r="AF6" s="187">
        <f>IF(U6="Гладкий",((AA6+AB6)*2*AC6/1000),(AA6*2*AC6/1000))</f>
        <v>0</v>
      </c>
      <c r="AG6" s="187">
        <f t="shared" ref="AG6" si="2">IF(U6="5-ти элем",((AA6+AB6)*2+AA6)*AC6/1000,IF(U6="Витрина",((AA6+AB6)*2+AA6)*AC6/1000,IF(U6="3-х элем",((AA6+AB6)*2+AA6)*AC6/1000,IF(U6="Гладкий",(AA6+AB6)*2*AC6/1000,0))))</f>
        <v>0</v>
      </c>
      <c r="AH6" s="185">
        <f>IF(U6="5-ти элем",(AA6*2*2*AC6/1000),IF(U6="витрина",(AA6*2*AC6/1000),0))</f>
        <v>0</v>
      </c>
      <c r="AI6" s="185">
        <f>IF(U6="5-ти элем",(16*T6),IF(U6="3-х элем",(12*T6),IF(U6="витрина",(16*T6),0)))</f>
        <v>0</v>
      </c>
      <c r="AJ6" s="188">
        <f>AF6+AE6</f>
        <v>0</v>
      </c>
      <c r="AK6" s="189">
        <f t="shared" ref="AK6" si="3">AD6</f>
        <v>0</v>
      </c>
      <c r="AL6" s="185">
        <f t="shared" ref="AL6" si="4">AK6</f>
        <v>0</v>
      </c>
      <c r="AM6" s="185">
        <f t="shared" ref="AM6" si="5">IF(U6="Гладкий",AK6, 0)</f>
        <v>0</v>
      </c>
      <c r="AN6" s="190">
        <f t="shared" ref="AN6" si="6">IF(U6="Гладкий",AK6, 0)</f>
        <v>0</v>
      </c>
      <c r="AO6" s="191">
        <f>IF(U6="5-ти элем","Paz 8 mm",IF(U6="витрина","Paz 4 mm",0))</f>
        <v>0</v>
      </c>
      <c r="AP6" s="172">
        <f t="shared" ref="AP6:AP46" si="7">(AA6*AB6*AC6)/1000000</f>
        <v>0</v>
      </c>
      <c r="AQ6" s="168">
        <f t="shared" si="0"/>
        <v>0</v>
      </c>
      <c r="AR6" s="172">
        <f>AF6+AF7+AE6</f>
        <v>0</v>
      </c>
      <c r="AS6" s="173" t="s">
        <v>164</v>
      </c>
      <c r="AT6" s="168"/>
      <c r="AU6" s="198" t="s">
        <v>47</v>
      </c>
      <c r="AV6" s="168"/>
      <c r="AW6" s="168"/>
      <c r="AX6" s="168"/>
      <c r="AY6" s="137"/>
    </row>
    <row r="7" spans="1:51" s="3" customFormat="1" x14ac:dyDescent="0.25">
      <c r="A7" s="345"/>
      <c r="B7" s="346"/>
      <c r="C7" s="347"/>
      <c r="D7" s="184"/>
      <c r="E7" s="184"/>
      <c r="F7" s="184"/>
      <c r="G7" s="184"/>
      <c r="H7" s="148"/>
      <c r="I7" s="148"/>
      <c r="J7" s="181">
        <v>5</v>
      </c>
      <c r="K7" s="182" t="s">
        <v>25</v>
      </c>
      <c r="L7" s="183">
        <f>V93</f>
        <v>0</v>
      </c>
      <c r="M7" s="172"/>
      <c r="N7" s="168" t="s">
        <v>17</v>
      </c>
      <c r="O7" s="168"/>
      <c r="P7" s="184"/>
      <c r="Q7" s="322"/>
      <c r="R7" s="319"/>
      <c r="S7" s="319"/>
      <c r="T7" s="319"/>
      <c r="U7" s="319"/>
      <c r="V7" s="319"/>
      <c r="W7" s="319"/>
      <c r="X7" s="319"/>
      <c r="Y7" s="181">
        <f>W6</f>
        <v>18</v>
      </c>
      <c r="Z7" s="192" t="s">
        <v>15</v>
      </c>
      <c r="AA7" s="181">
        <f>IF(U6="5-ти элем",(S6-160),IF(U6="витрина",(S6-160),IF(U6="3-х элем",(S6-160),0)))</f>
        <v>0</v>
      </c>
      <c r="AB7" s="181">
        <f>IF(U6="5-ти элем",164,IF(U6="витрина",164,IF(U6="3-х элем",R6,0)))</f>
        <v>0</v>
      </c>
      <c r="AC7" s="185">
        <f t="shared" ref="AC7" si="8">IF(AA7&gt;0,T6,0)</f>
        <v>0</v>
      </c>
      <c r="AD7" s="181">
        <f>H15</f>
        <v>0</v>
      </c>
      <c r="AE7" s="325"/>
      <c r="AF7" s="193">
        <f t="shared" ref="AF7" si="9">IF(U6="3-х элем",(AB7*2*AC7/1000),IF(U6="5-ти элем",((AA7+AB7)*2*AC7/1000),IF(U6="витрина",((AA7+AB7)*2*AC7/1000),0)))</f>
        <v>0</v>
      </c>
      <c r="AG7" s="187">
        <f t="shared" ref="AG7" si="10">IF(U6="5-ти элем",((AA7+AB7)*2+AA7)*AC7/1000,IF(U6="Витрина",((AA7+AB7)*2+AA7)*AC7/1000,IF(U6="3-х элем",(AA7+AB7)*2*AC7/1000,0)))</f>
        <v>0</v>
      </c>
      <c r="AH7" s="193">
        <f>IF(U6="5-ти элем",(AA7*2*2*AC7/1000),IF(U6="витрина",(AA7*2*AC7/1000),0))</f>
        <v>0</v>
      </c>
      <c r="AI7" s="181"/>
      <c r="AJ7" s="194">
        <f>AF7</f>
        <v>0</v>
      </c>
      <c r="AK7" s="195">
        <f t="shared" ref="AK7" si="11">IF(U6="5-ти элем",AK6,IF(U6="витрина",AK6,0))</f>
        <v>0</v>
      </c>
      <c r="AL7" s="181">
        <f t="shared" ref="AL7" si="12">IF(U6="5-ти элем",AK6,IF(U6="витрина",AK6,0))</f>
        <v>0</v>
      </c>
      <c r="AM7" s="181">
        <f t="shared" ref="AM7" si="13">IF(U6="Гладкий", 0,AK6)</f>
        <v>0</v>
      </c>
      <c r="AN7" s="196">
        <f t="shared" ref="AN7" si="14">IF(U6="Гладкий", 0,AK6)</f>
        <v>0</v>
      </c>
      <c r="AO7" s="197">
        <f>IF(U6="5-ти элем","Paz 8 mm",IF(U6="витрина","Paz 4 mm",0))</f>
        <v>0</v>
      </c>
      <c r="AP7" s="172">
        <f t="shared" si="7"/>
        <v>0</v>
      </c>
      <c r="AQ7" s="168">
        <f t="shared" si="0"/>
        <v>0</v>
      </c>
      <c r="AR7" s="172"/>
      <c r="AS7" s="173" t="s">
        <v>165</v>
      </c>
      <c r="AT7" s="168"/>
      <c r="AU7" s="198" t="s">
        <v>57</v>
      </c>
      <c r="AV7" s="168"/>
      <c r="AW7" s="168"/>
      <c r="AX7" s="168"/>
      <c r="AY7" s="137"/>
    </row>
    <row r="8" spans="1:51" s="3" customFormat="1" ht="15.75" thickBot="1" x14ac:dyDescent="0.3">
      <c r="A8" s="345"/>
      <c r="B8" s="346"/>
      <c r="C8" s="347"/>
      <c r="D8" s="184"/>
      <c r="E8" s="184"/>
      <c r="F8" s="184"/>
      <c r="G8" s="184"/>
      <c r="H8" s="144"/>
      <c r="I8" s="144"/>
      <c r="J8" s="329" t="s">
        <v>53</v>
      </c>
      <c r="K8" s="329"/>
      <c r="L8" s="329"/>
      <c r="M8" s="169"/>
      <c r="N8" s="169"/>
      <c r="O8" s="149"/>
      <c r="P8" s="168"/>
      <c r="Q8" s="323"/>
      <c r="R8" s="320"/>
      <c r="S8" s="320"/>
      <c r="T8" s="320"/>
      <c r="U8" s="320"/>
      <c r="V8" s="320"/>
      <c r="W8" s="320"/>
      <c r="X8" s="320"/>
      <c r="Y8" s="199">
        <f>X6</f>
        <v>0</v>
      </c>
      <c r="Z8" s="200" t="s">
        <v>1</v>
      </c>
      <c r="AA8" s="199">
        <f>IF(U6="5-ти элем",(R6-160+19),IF(U6="витрина",(R6-160+19),0))</f>
        <v>0</v>
      </c>
      <c r="AB8" s="199">
        <f>IF(U6="5-ти элем",(S6-160+19),IF(U6="витрина",(S6-160+19),0))</f>
        <v>0</v>
      </c>
      <c r="AC8" s="199">
        <f t="shared" ref="AC8" si="15">IF(U6="Гладкий",0,IF(U6="3-х элем",0,T6))</f>
        <v>0</v>
      </c>
      <c r="AD8" s="199">
        <f>IF(E15="Витрина","Стекло",H15)</f>
        <v>0</v>
      </c>
      <c r="AE8" s="326"/>
      <c r="AF8" s="199"/>
      <c r="AG8" s="201">
        <f t="shared" ref="AG8" si="16">IF(Y8=8,(AA8+AB8)*2*AC8/1000,0)</f>
        <v>0</v>
      </c>
      <c r="AH8" s="201">
        <v>0</v>
      </c>
      <c r="AI8" s="199"/>
      <c r="AJ8" s="206"/>
      <c r="AK8" s="203">
        <v>0</v>
      </c>
      <c r="AL8" s="199">
        <v>0</v>
      </c>
      <c r="AM8" s="199">
        <v>0</v>
      </c>
      <c r="AN8" s="202">
        <v>0</v>
      </c>
      <c r="AO8" s="204"/>
      <c r="AP8" s="172">
        <f>IF(AD8="Стекло",0,(AA8*AB8*AC8/1000000))</f>
        <v>0</v>
      </c>
      <c r="AQ8" s="168">
        <f t="shared" si="0"/>
        <v>0</v>
      </c>
      <c r="AR8" s="172"/>
      <c r="AS8" s="173" t="s">
        <v>166</v>
      </c>
      <c r="AT8" s="168"/>
      <c r="AU8" s="168"/>
      <c r="AV8" s="168"/>
      <c r="AW8" s="168"/>
      <c r="AX8" s="168"/>
      <c r="AY8" s="137"/>
    </row>
    <row r="9" spans="1:51" s="3" customFormat="1" ht="15.75" thickBot="1" x14ac:dyDescent="0.3">
      <c r="A9" s="348"/>
      <c r="B9" s="349"/>
      <c r="C9" s="350"/>
      <c r="D9" s="184"/>
      <c r="E9" s="184"/>
      <c r="F9" s="184"/>
      <c r="G9" s="184"/>
      <c r="H9" s="150"/>
      <c r="I9" s="150"/>
      <c r="J9" s="181">
        <v>1</v>
      </c>
      <c r="K9" s="182" t="s">
        <v>54</v>
      </c>
      <c r="L9" s="183">
        <f>L4*1.2</f>
        <v>0</v>
      </c>
      <c r="M9" s="172"/>
      <c r="N9" s="172"/>
      <c r="O9" s="172"/>
      <c r="P9" s="168"/>
      <c r="Q9" s="321">
        <v>3</v>
      </c>
      <c r="R9" s="318">
        <f>Бланк!B16</f>
        <v>0</v>
      </c>
      <c r="S9" s="318">
        <f>Бланк!C16</f>
        <v>0</v>
      </c>
      <c r="T9" s="318">
        <f>Бланк!D16</f>
        <v>0</v>
      </c>
      <c r="U9" s="318">
        <f>Бланк!E16</f>
        <v>0</v>
      </c>
      <c r="V9" s="318">
        <f>IF(E16="Гладкий",0,(1*D16))</f>
        <v>0</v>
      </c>
      <c r="W9" s="318">
        <f>Бланк!F16</f>
        <v>18</v>
      </c>
      <c r="X9" s="318">
        <f>Бланк!G16</f>
        <v>0</v>
      </c>
      <c r="Y9" s="185">
        <f>W9</f>
        <v>18</v>
      </c>
      <c r="Z9" s="186" t="s">
        <v>14</v>
      </c>
      <c r="AA9" s="185">
        <f>R9</f>
        <v>0</v>
      </c>
      <c r="AB9" s="185">
        <f>IF(U9="Гладкий",S9,164)</f>
        <v>164</v>
      </c>
      <c r="AC9" s="185">
        <f t="shared" ref="AC9" si="17">IF(AA9&gt;0,T9,0)</f>
        <v>0</v>
      </c>
      <c r="AD9" s="185">
        <f>H16</f>
        <v>0</v>
      </c>
      <c r="AE9" s="324">
        <f>IF(U9="Гладкий",0,((R9+S9)*2*T9/1000))</f>
        <v>0</v>
      </c>
      <c r="AF9" s="187">
        <f>IF(U9="Гладкий",((AA9+AB9)*2*AC9/1000),(AA9*2*AC9/1000))</f>
        <v>0</v>
      </c>
      <c r="AG9" s="187">
        <f t="shared" ref="AG9" si="18">IF(U9="5-ти элем",((AA9+AB9)*2+AA9)*AC9/1000,IF(U9="Витрина",((AA9+AB9)*2+AA9)*AC9/1000,IF(U9="3-х элем",((AA9+AB9)*2+AA9)*AC9/1000,IF(U9="Гладкий",(AA9+AB9)*2*AC9/1000,0))))</f>
        <v>0</v>
      </c>
      <c r="AH9" s="185">
        <f>IF(U9="5-ти элем",(AA9*2*2*AC9/1000),IF(U9="витрина",(AA9*2*AC9/1000),0))</f>
        <v>0</v>
      </c>
      <c r="AI9" s="185">
        <f>IF(U9="5-ти элем",(16*T9),IF(U9="3-х элем",(12*T9),IF(U9="витрина",(16*T9),0)))</f>
        <v>0</v>
      </c>
      <c r="AJ9" s="188">
        <f>AF9+AE9</f>
        <v>0</v>
      </c>
      <c r="AK9" s="189">
        <f t="shared" ref="AK9" si="19">AD9</f>
        <v>0</v>
      </c>
      <c r="AL9" s="185">
        <f t="shared" ref="AL9" si="20">AK9</f>
        <v>0</v>
      </c>
      <c r="AM9" s="185">
        <f t="shared" ref="AM9" si="21">IF(U9="Гладкий",AK9, 0)</f>
        <v>0</v>
      </c>
      <c r="AN9" s="190">
        <f t="shared" ref="AN9" si="22">IF(U9="Гладкий",AK9, 0)</f>
        <v>0</v>
      </c>
      <c r="AO9" s="191">
        <f>IF(U9="5-ти элем","Paz 8 mm",IF(U9="витрина","Paz 4 mm",0))</f>
        <v>0</v>
      </c>
      <c r="AP9" s="172">
        <f t="shared" si="7"/>
        <v>0</v>
      </c>
      <c r="AQ9" s="168">
        <f t="shared" si="0"/>
        <v>0</v>
      </c>
      <c r="AR9" s="172">
        <f>AF9+AF10+AE9</f>
        <v>0</v>
      </c>
      <c r="AS9" s="207" t="s">
        <v>167</v>
      </c>
      <c r="AT9" s="168"/>
      <c r="AU9" s="168"/>
      <c r="AV9" s="168"/>
      <c r="AW9" s="168"/>
      <c r="AX9" s="168"/>
      <c r="AY9" s="137"/>
    </row>
    <row r="10" spans="1:51" s="3" customFormat="1" x14ac:dyDescent="0.25">
      <c r="A10" s="154"/>
      <c r="B10" s="154"/>
      <c r="C10" s="154"/>
      <c r="D10" s="184"/>
      <c r="E10" s="184"/>
      <c r="F10" s="184"/>
      <c r="G10" s="184"/>
      <c r="H10" s="150"/>
      <c r="I10" s="150"/>
      <c r="J10" s="181">
        <v>2</v>
      </c>
      <c r="K10" s="182" t="s">
        <v>55</v>
      </c>
      <c r="L10" s="183">
        <f>AP94*1.2</f>
        <v>0</v>
      </c>
      <c r="M10" s="184"/>
      <c r="N10" s="184"/>
      <c r="O10" s="184"/>
      <c r="P10" s="168"/>
      <c r="Q10" s="322"/>
      <c r="R10" s="319"/>
      <c r="S10" s="319"/>
      <c r="T10" s="319"/>
      <c r="U10" s="319"/>
      <c r="V10" s="319"/>
      <c r="W10" s="319"/>
      <c r="X10" s="319"/>
      <c r="Y10" s="181">
        <f>W9</f>
        <v>18</v>
      </c>
      <c r="Z10" s="192" t="s">
        <v>15</v>
      </c>
      <c r="AA10" s="181">
        <f>IF(U9="5-ти элем",(S9-160),IF(U9="витрина",(S9-160),IF(U9="3-х элем",(S9-160),0)))</f>
        <v>0</v>
      </c>
      <c r="AB10" s="181">
        <f>IF(U9="5-ти элем",164,IF(U9="витрина",164,IF(U9="3-х элем",R9,0)))</f>
        <v>0</v>
      </c>
      <c r="AC10" s="185">
        <f t="shared" ref="AC10" si="23">IF(AA10&gt;0,T9,0)</f>
        <v>0</v>
      </c>
      <c r="AD10" s="181">
        <f>H16</f>
        <v>0</v>
      </c>
      <c r="AE10" s="325"/>
      <c r="AF10" s="193">
        <f t="shared" ref="AF10" si="24">IF(U9="3-х элем",(AB10*2*AC10/1000),IF(U9="5-ти элем",((AA10+AB10)*2*AC10/1000),IF(U9="витрина",((AA10+AB10)*2*AC10/1000),0)))</f>
        <v>0</v>
      </c>
      <c r="AG10" s="187">
        <f t="shared" ref="AG10" si="25">IF(U9="5-ти элем",((AA10+AB10)*2+AA10)*AC10/1000,IF(U9="Витрина",((AA10+AB10)*2+AA10)*AC10/1000,IF(U9="3-х элем",(AA10+AB10)*2*AC10/1000,0)))</f>
        <v>0</v>
      </c>
      <c r="AH10" s="193">
        <f>IF(U9="5-ти элем",(AA10*2*2*AC10/1000),IF(U9="витрина",(AA10*2*AC10/1000),0))</f>
        <v>0</v>
      </c>
      <c r="AI10" s="181"/>
      <c r="AJ10" s="194">
        <f>AF10</f>
        <v>0</v>
      </c>
      <c r="AK10" s="195">
        <f t="shared" ref="AK10" si="26">IF(U9="5-ти элем",AK9,IF(U9="витрина",AK9,0))</f>
        <v>0</v>
      </c>
      <c r="AL10" s="181">
        <f t="shared" ref="AL10" si="27">IF(U9="5-ти элем",AK9,IF(U9="витрина",AK9,0))</f>
        <v>0</v>
      </c>
      <c r="AM10" s="181">
        <f t="shared" ref="AM10" si="28">IF(U9="Гладкий", 0,AK9)</f>
        <v>0</v>
      </c>
      <c r="AN10" s="196">
        <f t="shared" ref="AN10" si="29">IF(U9="Гладкий", 0,AK9)</f>
        <v>0</v>
      </c>
      <c r="AO10" s="197">
        <f>IF(U9="5-ти элем","Paz 8 mm",IF(U9="витрина","Paz 4 mm",0))</f>
        <v>0</v>
      </c>
      <c r="AP10" s="172">
        <f t="shared" si="7"/>
        <v>0</v>
      </c>
      <c r="AQ10" s="168">
        <f t="shared" si="0"/>
        <v>0</v>
      </c>
      <c r="AR10" s="172"/>
      <c r="AS10" s="207" t="s">
        <v>168</v>
      </c>
      <c r="AT10" s="168"/>
      <c r="AU10" s="168"/>
      <c r="AV10" s="168"/>
      <c r="AW10" s="168"/>
      <c r="AX10" s="168"/>
      <c r="AY10" s="137"/>
    </row>
    <row r="11" spans="1:51" s="3" customFormat="1" ht="15" customHeight="1" thickBot="1" x14ac:dyDescent="0.3">
      <c r="A11" s="184"/>
      <c r="B11" s="184"/>
      <c r="C11" s="151"/>
      <c r="D11" s="152"/>
      <c r="E11" s="152"/>
      <c r="F11" s="152"/>
      <c r="G11" s="152"/>
      <c r="H11" s="152"/>
      <c r="I11" s="152"/>
      <c r="J11" s="181">
        <v>3</v>
      </c>
      <c r="K11" s="182" t="s">
        <v>52</v>
      </c>
      <c r="L11" s="183">
        <f>AP96*1.2</f>
        <v>0</v>
      </c>
      <c r="M11" s="184"/>
      <c r="N11" s="184"/>
      <c r="O11" s="184"/>
      <c r="P11" s="168"/>
      <c r="Q11" s="323"/>
      <c r="R11" s="320"/>
      <c r="S11" s="320"/>
      <c r="T11" s="320"/>
      <c r="U11" s="320"/>
      <c r="V11" s="320"/>
      <c r="W11" s="320"/>
      <c r="X11" s="320"/>
      <c r="Y11" s="199">
        <f>X9</f>
        <v>0</v>
      </c>
      <c r="Z11" s="200" t="s">
        <v>1</v>
      </c>
      <c r="AA11" s="199">
        <f>IF(U9="5-ти элем",(R9-160+19),IF(U9="витрина",(R9-160+19),0))</f>
        <v>0</v>
      </c>
      <c r="AB11" s="199">
        <f>IF(U9="5-ти элем",(S9-160+19),IF(U9="витрина",(S9-160+19),0))</f>
        <v>0</v>
      </c>
      <c r="AC11" s="199">
        <f t="shared" ref="AC11" si="30">IF(U9="Гладкий",0,IF(U9="3-х элем",0,T9))</f>
        <v>0</v>
      </c>
      <c r="AD11" s="199">
        <f>IF(E16="Витрина","Стекло",H16)</f>
        <v>0</v>
      </c>
      <c r="AE11" s="326"/>
      <c r="AF11" s="199"/>
      <c r="AG11" s="201">
        <f t="shared" ref="AG11" si="31">IF(Y11=8,(AA11+AB11)*2*AC11/1000,0)</f>
        <v>0</v>
      </c>
      <c r="AH11" s="201">
        <v>0</v>
      </c>
      <c r="AI11" s="199"/>
      <c r="AJ11" s="206"/>
      <c r="AK11" s="203">
        <v>0</v>
      </c>
      <c r="AL11" s="199">
        <v>0</v>
      </c>
      <c r="AM11" s="199">
        <v>0</v>
      </c>
      <c r="AN11" s="202">
        <v>0</v>
      </c>
      <c r="AO11" s="204"/>
      <c r="AP11" s="172">
        <f>IF(AD11="Стекло",0,(AA11*AB11*AC11/1000000))</f>
        <v>0</v>
      </c>
      <c r="AQ11" s="168">
        <f t="shared" si="0"/>
        <v>0</v>
      </c>
      <c r="AR11" s="172"/>
      <c r="AS11" s="207" t="s">
        <v>169</v>
      </c>
      <c r="AT11" s="168"/>
      <c r="AU11" s="168"/>
      <c r="AV11" s="168" t="s">
        <v>82</v>
      </c>
      <c r="AW11" s="168" t="s">
        <v>66</v>
      </c>
      <c r="AX11" s="168" t="s">
        <v>49</v>
      </c>
      <c r="AY11" s="137" t="str">
        <f>CONCATENATE(AV11," ",AX11)</f>
        <v>SO83 22/1,0</v>
      </c>
    </row>
    <row r="12" spans="1:51" s="3" customFormat="1" ht="24.75" customHeight="1" thickBot="1" x14ac:dyDescent="0.3">
      <c r="A12" s="153"/>
      <c r="B12" s="340" t="s">
        <v>36</v>
      </c>
      <c r="C12" s="341"/>
      <c r="D12" s="335" t="s">
        <v>30</v>
      </c>
      <c r="E12" s="335" t="s">
        <v>11</v>
      </c>
      <c r="F12" s="335" t="s">
        <v>37</v>
      </c>
      <c r="G12" s="335" t="s">
        <v>41</v>
      </c>
      <c r="H12" s="338" t="s">
        <v>31</v>
      </c>
      <c r="I12" s="154"/>
      <c r="J12" s="184"/>
      <c r="K12" s="184"/>
      <c r="L12" s="184"/>
      <c r="M12" s="184"/>
      <c r="N12" s="184"/>
      <c r="O12" s="184"/>
      <c r="P12" s="168"/>
      <c r="Q12" s="321">
        <v>4</v>
      </c>
      <c r="R12" s="318">
        <f>Бланк!B17</f>
        <v>0</v>
      </c>
      <c r="S12" s="318">
        <f>Бланк!C17</f>
        <v>0</v>
      </c>
      <c r="T12" s="318">
        <f>Бланк!D17</f>
        <v>0</v>
      </c>
      <c r="U12" s="318">
        <f>Бланк!E17</f>
        <v>0</v>
      </c>
      <c r="V12" s="318">
        <f>IF(E17="Гладкий",0,(1*D17))</f>
        <v>0</v>
      </c>
      <c r="W12" s="318">
        <f>Бланк!F17</f>
        <v>18</v>
      </c>
      <c r="X12" s="318">
        <f>Бланк!G17</f>
        <v>0</v>
      </c>
      <c r="Y12" s="185">
        <f>W12</f>
        <v>18</v>
      </c>
      <c r="Z12" s="186" t="s">
        <v>14</v>
      </c>
      <c r="AA12" s="185">
        <f>R12</f>
        <v>0</v>
      </c>
      <c r="AB12" s="185">
        <f>IF(U12="Гладкий",S12,164)</f>
        <v>164</v>
      </c>
      <c r="AC12" s="185">
        <f t="shared" ref="AC12" si="32">IF(AA12&gt;0,T12,0)</f>
        <v>0</v>
      </c>
      <c r="AD12" s="185">
        <f>H17</f>
        <v>0</v>
      </c>
      <c r="AE12" s="324">
        <f>IF(U12="Гладкий",0,((R12+S12)*2*T12/1000))</f>
        <v>0</v>
      </c>
      <c r="AF12" s="187">
        <f>IF(U12="Гладкий",((AA12+AB12)*2*AC12/1000),(AA12*2*AC12/1000))</f>
        <v>0</v>
      </c>
      <c r="AG12" s="187">
        <f t="shared" ref="AG12" si="33">IF(U12="5-ти элем",((AA12+AB12)*2+AA12)*AC12/1000,IF(U12="Витрина",((AA12+AB12)*2+AA12)*AC12/1000,IF(U12="3-х элем",((AA12+AB12)*2+AA12)*AC12/1000,IF(U12="Гладкий",(AA12+AB12)*2*AC12/1000,0))))</f>
        <v>0</v>
      </c>
      <c r="AH12" s="185">
        <f>IF(U12="5-ти элем",(AA12*2*2*AC12/1000),IF(U12="витрина",(AA12*2*AC12/1000),0))</f>
        <v>0</v>
      </c>
      <c r="AI12" s="185">
        <f>IF(U12="5-ти элем",(16*T12),IF(U12="3-х элем",(12*T12),IF(U12="витрина",(16*T12),0)))</f>
        <v>0</v>
      </c>
      <c r="AJ12" s="188">
        <f>AF12+AE12</f>
        <v>0</v>
      </c>
      <c r="AK12" s="189">
        <f t="shared" ref="AK12" si="34">AD12</f>
        <v>0</v>
      </c>
      <c r="AL12" s="185">
        <f t="shared" ref="AL12" si="35">AK12</f>
        <v>0</v>
      </c>
      <c r="AM12" s="185">
        <f t="shared" ref="AM12" si="36">IF(U12="Гладкий",AK12, 0)</f>
        <v>0</v>
      </c>
      <c r="AN12" s="190">
        <f t="shared" ref="AN12" si="37">IF(U12="Гладкий",AK12, 0)</f>
        <v>0</v>
      </c>
      <c r="AO12" s="191">
        <f>IF(U12="5-ти элем","Paz 8 mm",IF(U12="витрина","Paz 4 mm",0))</f>
        <v>0</v>
      </c>
      <c r="AP12" s="172">
        <f t="shared" si="7"/>
        <v>0</v>
      </c>
      <c r="AQ12" s="168">
        <f t="shared" si="0"/>
        <v>0</v>
      </c>
      <c r="AR12" s="172">
        <f>AF12+AF13+AE12</f>
        <v>0</v>
      </c>
      <c r="AS12" s="207" t="s">
        <v>170</v>
      </c>
      <c r="AT12" s="168"/>
      <c r="AU12" s="168"/>
      <c r="AV12" s="168" t="s">
        <v>83</v>
      </c>
      <c r="AW12" s="168" t="s">
        <v>66</v>
      </c>
      <c r="AX12" s="168" t="s">
        <v>84</v>
      </c>
      <c r="AY12" s="137" t="str">
        <f>CONCATENATE(AV12,AW12,AX12)</f>
        <v>SO84 22/1,1</v>
      </c>
    </row>
    <row r="13" spans="1:51" s="3" customFormat="1" ht="15.75" thickBot="1" x14ac:dyDescent="0.3">
      <c r="A13" s="155" t="s">
        <v>5</v>
      </c>
      <c r="B13" s="156" t="s">
        <v>32</v>
      </c>
      <c r="C13" s="156" t="s">
        <v>33</v>
      </c>
      <c r="D13" s="336"/>
      <c r="E13" s="336"/>
      <c r="F13" s="336"/>
      <c r="G13" s="336"/>
      <c r="H13" s="339"/>
      <c r="I13" s="154"/>
      <c r="J13" s="184"/>
      <c r="K13" s="184"/>
      <c r="L13" s="184"/>
      <c r="M13" s="184"/>
      <c r="N13" s="184"/>
      <c r="O13" s="184"/>
      <c r="P13" s="168"/>
      <c r="Q13" s="322"/>
      <c r="R13" s="319"/>
      <c r="S13" s="319"/>
      <c r="T13" s="319"/>
      <c r="U13" s="319"/>
      <c r="V13" s="319"/>
      <c r="W13" s="319"/>
      <c r="X13" s="319"/>
      <c r="Y13" s="181">
        <f>W12</f>
        <v>18</v>
      </c>
      <c r="Z13" s="192" t="s">
        <v>15</v>
      </c>
      <c r="AA13" s="181">
        <f>IF(U12="5-ти элем",(S12-160),IF(U12="витрина",(S12-160),IF(U12="3-х элем",(S12-160),0)))</f>
        <v>0</v>
      </c>
      <c r="AB13" s="181">
        <f>IF(U12="5-ти элем",164,IF(U12="витрина",164,IF(U12="3-х элем",R12,0)))</f>
        <v>0</v>
      </c>
      <c r="AC13" s="185">
        <f t="shared" ref="AC13" si="38">IF(AA13&gt;0,T12,0)</f>
        <v>0</v>
      </c>
      <c r="AD13" s="181">
        <f>H17</f>
        <v>0</v>
      </c>
      <c r="AE13" s="325"/>
      <c r="AF13" s="193">
        <f t="shared" ref="AF13" si="39">IF(U12="3-х элем",(AB13*2*AC13/1000),IF(U12="5-ти элем",((AA13+AB13)*2*AC13/1000),IF(U12="витрина",((AA13+AB13)*2*AC13/1000),0)))</f>
        <v>0</v>
      </c>
      <c r="AG13" s="187">
        <f t="shared" ref="AG13" si="40">IF(U12="5-ти элем",((AA13+AB13)*2+AA13)*AC13/1000,IF(U12="Витрина",((AA13+AB13)*2+AA13)*AC13/1000,IF(U12="3-х элем",(AA13+AB13)*2*AC13/1000,0)))</f>
        <v>0</v>
      </c>
      <c r="AH13" s="193">
        <f>IF(U12="5-ти элем",(AA13*2*2*AC13/1000),IF(U12="витрина",(AA13*2*AC13/1000),0))</f>
        <v>0</v>
      </c>
      <c r="AI13" s="181"/>
      <c r="AJ13" s="194">
        <f>AF13</f>
        <v>0</v>
      </c>
      <c r="AK13" s="195">
        <f t="shared" ref="AK13" si="41">IF(U12="5-ти элем",AK12,IF(U12="витрина",AK12,0))</f>
        <v>0</v>
      </c>
      <c r="AL13" s="181">
        <f t="shared" ref="AL13" si="42">IF(U12="5-ти элем",AK12,IF(U12="витрина",AK12,0))</f>
        <v>0</v>
      </c>
      <c r="AM13" s="181">
        <f t="shared" ref="AM13" si="43">IF(U12="Гладкий", 0,AK12)</f>
        <v>0</v>
      </c>
      <c r="AN13" s="196">
        <f t="shared" ref="AN13" si="44">IF(U12="Гладкий", 0,AK12)</f>
        <v>0</v>
      </c>
      <c r="AO13" s="197">
        <f>IF(U12="5-ти элем","Paz 8 mm",IF(U12="витрина","Paz 4 mm",0))</f>
        <v>0</v>
      </c>
      <c r="AP13" s="172">
        <f t="shared" si="7"/>
        <v>0</v>
      </c>
      <c r="AQ13" s="168">
        <f t="shared" si="0"/>
        <v>0</v>
      </c>
      <c r="AR13" s="172"/>
      <c r="AS13" s="207" t="s">
        <v>171</v>
      </c>
      <c r="AT13" s="168"/>
      <c r="AU13" s="168"/>
      <c r="AV13" s="168"/>
      <c r="AW13" s="168" t="s">
        <v>66</v>
      </c>
      <c r="AX13" s="168"/>
      <c r="AY13" s="137"/>
    </row>
    <row r="14" spans="1:51" s="3" customFormat="1" ht="15.75" thickBot="1" x14ac:dyDescent="0.3">
      <c r="A14" s="157">
        <v>1</v>
      </c>
      <c r="B14" s="158">
        <f>'Фасады Клеаф'!D10</f>
        <v>0</v>
      </c>
      <c r="C14" s="158">
        <f>'Фасады Клеаф'!E10</f>
        <v>0</v>
      </c>
      <c r="D14" s="158">
        <f>'Фасады Клеаф'!F10</f>
        <v>0</v>
      </c>
      <c r="E14" s="158">
        <f>'Фасады Клеаф'!C10</f>
        <v>0</v>
      </c>
      <c r="F14" s="158">
        <v>18</v>
      </c>
      <c r="G14" s="158">
        <f>IF(E14="Витрина",4,IF(E14="5-ти элем",8,0))</f>
        <v>0</v>
      </c>
      <c r="H14" s="159">
        <f>'Фасады Клеаф'!G10</f>
        <v>0</v>
      </c>
      <c r="I14" s="160"/>
      <c r="J14" s="184"/>
      <c r="K14" s="184"/>
      <c r="L14" s="184"/>
      <c r="M14" s="184"/>
      <c r="N14" s="184"/>
      <c r="O14" s="184"/>
      <c r="P14" s="168"/>
      <c r="Q14" s="323"/>
      <c r="R14" s="320"/>
      <c r="S14" s="320"/>
      <c r="T14" s="320"/>
      <c r="U14" s="320"/>
      <c r="V14" s="320"/>
      <c r="W14" s="320"/>
      <c r="X14" s="320"/>
      <c r="Y14" s="199">
        <f>X12</f>
        <v>0</v>
      </c>
      <c r="Z14" s="200" t="s">
        <v>1</v>
      </c>
      <c r="AA14" s="199">
        <f>IF(U12="5-ти элем",(R12-160+19),IF(U12="витрина",(R12-160+19),0))</f>
        <v>0</v>
      </c>
      <c r="AB14" s="199">
        <f>IF(U12="5-ти элем",(S12-160+19),IF(U12="витрина",(S12-160+19),0))</f>
        <v>0</v>
      </c>
      <c r="AC14" s="199">
        <f t="shared" ref="AC14" si="45">IF(U12="Гладкий",0,IF(U12="3-х элем",0,T12))</f>
        <v>0</v>
      </c>
      <c r="AD14" s="199">
        <f>IF(E17="Витрина","Стекло",H17)</f>
        <v>0</v>
      </c>
      <c r="AE14" s="326"/>
      <c r="AF14" s="199"/>
      <c r="AG14" s="201">
        <f t="shared" ref="AG14" si="46">IF(Y14=8,(AA14+AB14)*2*AC14/1000,0)</f>
        <v>0</v>
      </c>
      <c r="AH14" s="201">
        <v>0</v>
      </c>
      <c r="AI14" s="199"/>
      <c r="AJ14" s="206"/>
      <c r="AK14" s="203">
        <v>0</v>
      </c>
      <c r="AL14" s="199">
        <v>0</v>
      </c>
      <c r="AM14" s="199">
        <v>0</v>
      </c>
      <c r="AN14" s="202">
        <v>0</v>
      </c>
      <c r="AO14" s="204"/>
      <c r="AP14" s="172">
        <f>IF(AD14="Стекло",0,(AA14*AB14*AC14/1000000))</f>
        <v>0</v>
      </c>
      <c r="AQ14" s="168">
        <f t="shared" si="0"/>
        <v>0</v>
      </c>
      <c r="AR14" s="172"/>
      <c r="AS14" s="207" t="s">
        <v>172</v>
      </c>
      <c r="AT14" s="168"/>
      <c r="AU14" s="168"/>
      <c r="AV14" s="168"/>
      <c r="AW14" s="168" t="s">
        <v>66</v>
      </c>
      <c r="AX14" s="168"/>
      <c r="AY14" s="137"/>
    </row>
    <row r="15" spans="1:51" s="3" customFormat="1" ht="15.75" thickBot="1" x14ac:dyDescent="0.3">
      <c r="A15" s="161">
        <v>2</v>
      </c>
      <c r="B15" s="162">
        <f>'Фасады Клеаф'!D11</f>
        <v>0</v>
      </c>
      <c r="C15" s="162">
        <f>'Фасады Клеаф'!E11</f>
        <v>0</v>
      </c>
      <c r="D15" s="162">
        <f>'Фасады Клеаф'!F11</f>
        <v>0</v>
      </c>
      <c r="E15" s="162">
        <f>'Фасады Клеаф'!C11</f>
        <v>0</v>
      </c>
      <c r="F15" s="162">
        <v>18</v>
      </c>
      <c r="G15" s="158">
        <f t="shared" ref="G15:G43" si="47">IF(E15="Витрина",4,IF(E15="5-ти элем",8,0))</f>
        <v>0</v>
      </c>
      <c r="H15" s="163">
        <f>'Фасады Клеаф'!G11</f>
        <v>0</v>
      </c>
      <c r="I15" s="160"/>
      <c r="J15" s="184"/>
      <c r="K15" s="184"/>
      <c r="L15" s="184"/>
      <c r="M15" s="184"/>
      <c r="N15" s="184"/>
      <c r="O15" s="184"/>
      <c r="P15" s="168"/>
      <c r="Q15" s="321">
        <v>5</v>
      </c>
      <c r="R15" s="318">
        <f>Бланк!B18</f>
        <v>0</v>
      </c>
      <c r="S15" s="318">
        <f>Бланк!C18</f>
        <v>0</v>
      </c>
      <c r="T15" s="318">
        <f>Бланк!D18</f>
        <v>0</v>
      </c>
      <c r="U15" s="331">
        <f>Бланк!E18</f>
        <v>0</v>
      </c>
      <c r="V15" s="318">
        <f>IF(E18="Гладкий",0,(1*D18))</f>
        <v>0</v>
      </c>
      <c r="W15" s="318">
        <f>Бланк!F18</f>
        <v>18</v>
      </c>
      <c r="X15" s="318">
        <f>Бланк!G18</f>
        <v>0</v>
      </c>
      <c r="Y15" s="185">
        <f>W15</f>
        <v>18</v>
      </c>
      <c r="Z15" s="186" t="s">
        <v>14</v>
      </c>
      <c r="AA15" s="185">
        <f>R15</f>
        <v>0</v>
      </c>
      <c r="AB15" s="185">
        <f>IF(U15="Гладкий",S15,164)</f>
        <v>164</v>
      </c>
      <c r="AC15" s="185">
        <f t="shared" ref="AC15" si="48">IF(AA15&gt;0,T15,0)</f>
        <v>0</v>
      </c>
      <c r="AD15" s="185">
        <f>H18</f>
        <v>0</v>
      </c>
      <c r="AE15" s="324">
        <f>IF(U15="Гладкий",0,((R15+S15)*2*T15/1000))</f>
        <v>0</v>
      </c>
      <c r="AF15" s="187">
        <f>IF(U15="Гладкий",((AA15+AB15)*2*AC15/1000),(AA15*2*AC15/1000))</f>
        <v>0</v>
      </c>
      <c r="AG15" s="187">
        <f t="shared" ref="AG15" si="49">IF(U15="5-ти элем",((AA15+AB15)*2+AA15)*AC15/1000,IF(U15="Витрина",((AA15+AB15)*2+AA15)*AC15/1000,IF(U15="3-х элем",((AA15+AB15)*2+AA15)*AC15/1000,IF(U15="Гладкий",(AA15+AB15)*2*AC15/1000,0))))</f>
        <v>0</v>
      </c>
      <c r="AH15" s="185">
        <f>IF(U15="5-ти элем",(AA15*2*2*AC15/1000),IF(U15="витрина",(AA15*2*AC15/1000),0))</f>
        <v>0</v>
      </c>
      <c r="AI15" s="185">
        <f>IF(U15="5-ти элем",(16*T15),IF(U15="3-х элем",(12*T15),IF(U15="витрина",(16*T15),0)))</f>
        <v>0</v>
      </c>
      <c r="AJ15" s="188">
        <f>AF15+AE15</f>
        <v>0</v>
      </c>
      <c r="AK15" s="189">
        <f t="shared" ref="AK15" si="50">AD15</f>
        <v>0</v>
      </c>
      <c r="AL15" s="185">
        <f t="shared" ref="AL15" si="51">AK15</f>
        <v>0</v>
      </c>
      <c r="AM15" s="185">
        <f t="shared" ref="AM15" si="52">IF(U15="Гладкий",AK15, 0)</f>
        <v>0</v>
      </c>
      <c r="AN15" s="190">
        <f t="shared" ref="AN15" si="53">IF(U15="Гладкий",AK15, 0)</f>
        <v>0</v>
      </c>
      <c r="AO15" s="191">
        <f>IF(U15="5-ти элем","Paz 8 mm",IF(U15="витрина","Paz 4 mm",0))</f>
        <v>0</v>
      </c>
      <c r="AP15" s="172">
        <f t="shared" si="7"/>
        <v>0</v>
      </c>
      <c r="AQ15" s="168">
        <f t="shared" si="0"/>
        <v>0</v>
      </c>
      <c r="AR15" s="172">
        <f>AF15+AF16+AE15</f>
        <v>0</v>
      </c>
      <c r="AS15" s="207" t="s">
        <v>173</v>
      </c>
      <c r="AT15" s="168"/>
      <c r="AU15" s="168"/>
      <c r="AV15" s="168"/>
      <c r="AW15" s="168" t="s">
        <v>66</v>
      </c>
      <c r="AX15" s="168"/>
      <c r="AY15" s="137"/>
    </row>
    <row r="16" spans="1:51" s="3" customFormat="1" ht="15.75" thickBot="1" x14ac:dyDescent="0.3">
      <c r="A16" s="161">
        <v>3</v>
      </c>
      <c r="B16" s="162">
        <f>'Фасады Клеаф'!D12</f>
        <v>0</v>
      </c>
      <c r="C16" s="162">
        <f>'Фасады Клеаф'!E12</f>
        <v>0</v>
      </c>
      <c r="D16" s="162">
        <f>'Фасады Клеаф'!F12</f>
        <v>0</v>
      </c>
      <c r="E16" s="162">
        <f>'Фасады Клеаф'!C12</f>
        <v>0</v>
      </c>
      <c r="F16" s="162">
        <v>18</v>
      </c>
      <c r="G16" s="158">
        <f t="shared" si="47"/>
        <v>0</v>
      </c>
      <c r="H16" s="163">
        <f>'Фасады Клеаф'!G12</f>
        <v>0</v>
      </c>
      <c r="I16" s="160"/>
      <c r="J16" s="184"/>
      <c r="K16" s="184"/>
      <c r="L16" s="184"/>
      <c r="M16" s="184"/>
      <c r="N16" s="184"/>
      <c r="O16" s="184"/>
      <c r="P16" s="168"/>
      <c r="Q16" s="322"/>
      <c r="R16" s="319"/>
      <c r="S16" s="319"/>
      <c r="T16" s="319"/>
      <c r="U16" s="332"/>
      <c r="V16" s="319"/>
      <c r="W16" s="319"/>
      <c r="X16" s="319"/>
      <c r="Y16" s="181">
        <f>W15</f>
        <v>18</v>
      </c>
      <c r="Z16" s="192" t="s">
        <v>15</v>
      </c>
      <c r="AA16" s="181">
        <f>IF(U15="5-ти элем",(S15-160),IF(U15="витрина",(S15-160),IF(U15="3-х элем",(S15-160),0)))</f>
        <v>0</v>
      </c>
      <c r="AB16" s="181">
        <f>IF(U15="5-ти элем",164,IF(U15="витрина",164,IF(U15="3-х элем",R15,0)))</f>
        <v>0</v>
      </c>
      <c r="AC16" s="185">
        <f t="shared" ref="AC16" si="54">IF(AA16&gt;0,T15,0)</f>
        <v>0</v>
      </c>
      <c r="AD16" s="181">
        <f>H18</f>
        <v>0</v>
      </c>
      <c r="AE16" s="325"/>
      <c r="AF16" s="193">
        <f t="shared" ref="AF16" si="55">IF(U15="3-х элем",(AB16*2*AC16/1000),IF(U15="5-ти элем",((AA16+AB16)*2*AC16/1000),IF(U15="витрина",((AA16+AB16)*2*AC16/1000),0)))</f>
        <v>0</v>
      </c>
      <c r="AG16" s="187">
        <f t="shared" ref="AG16" si="56">IF(U15="5-ти элем",((AA16+AB16)*2+AA16)*AC16/1000,IF(U15="Витрина",((AA16+AB16)*2+AA16)*AC16/1000,IF(U15="3-х элем",(AA16+AB16)*2*AC16/1000,0)))</f>
        <v>0</v>
      </c>
      <c r="AH16" s="193">
        <f>IF(U15="5-ти элем",(AA16*2*2*AC16/1000),IF(U15="витрина",(AA16*2*AC16/1000),0))</f>
        <v>0</v>
      </c>
      <c r="AI16" s="181"/>
      <c r="AJ16" s="194">
        <f>AF16</f>
        <v>0</v>
      </c>
      <c r="AK16" s="195">
        <f t="shared" ref="AK16" si="57">IF(U15="5-ти элем",AK15,IF(U15="витрина",AK15,0))</f>
        <v>0</v>
      </c>
      <c r="AL16" s="181">
        <f t="shared" ref="AL16" si="58">IF(U15="5-ти элем",AK15,IF(U15="витрина",AK15,0))</f>
        <v>0</v>
      </c>
      <c r="AM16" s="181">
        <f t="shared" ref="AM16" si="59">IF(U15="Гладкий", 0,AK15)</f>
        <v>0</v>
      </c>
      <c r="AN16" s="196">
        <f t="shared" ref="AN16" si="60">IF(U15="Гладкий", 0,AK15)</f>
        <v>0</v>
      </c>
      <c r="AO16" s="197">
        <f>IF(U15="5-ти элем","Paz 8 mm",IF(U15="витрина","Paz 4 mm",0))</f>
        <v>0</v>
      </c>
      <c r="AP16" s="172">
        <f t="shared" si="7"/>
        <v>0</v>
      </c>
      <c r="AQ16" s="168">
        <f t="shared" si="0"/>
        <v>0</v>
      </c>
      <c r="AR16" s="172"/>
      <c r="AS16" s="207" t="s">
        <v>174</v>
      </c>
      <c r="AT16" s="168"/>
      <c r="AU16" s="168"/>
      <c r="AV16" s="168"/>
      <c r="AW16" s="168" t="s">
        <v>66</v>
      </c>
      <c r="AX16" s="168"/>
      <c r="AY16" s="137"/>
    </row>
    <row r="17" spans="1:51" s="3" customFormat="1" ht="15.75" thickBot="1" x14ac:dyDescent="0.3">
      <c r="A17" s="161">
        <v>4</v>
      </c>
      <c r="B17" s="162">
        <f>'Фасады Клеаф'!D13</f>
        <v>0</v>
      </c>
      <c r="C17" s="162">
        <f>'Фасады Клеаф'!E13</f>
        <v>0</v>
      </c>
      <c r="D17" s="162">
        <f>'Фасады Клеаф'!F13</f>
        <v>0</v>
      </c>
      <c r="E17" s="162">
        <f>'Фасады Клеаф'!C13</f>
        <v>0</v>
      </c>
      <c r="F17" s="162">
        <v>18</v>
      </c>
      <c r="G17" s="158">
        <f t="shared" si="47"/>
        <v>0</v>
      </c>
      <c r="H17" s="163">
        <f>'Фасады Клеаф'!G13</f>
        <v>0</v>
      </c>
      <c r="I17" s="160"/>
      <c r="J17" s="184"/>
      <c r="K17" s="184"/>
      <c r="L17" s="184"/>
      <c r="M17" s="184"/>
      <c r="N17" s="184"/>
      <c r="O17" s="184"/>
      <c r="P17" s="168"/>
      <c r="Q17" s="323"/>
      <c r="R17" s="320"/>
      <c r="S17" s="320"/>
      <c r="T17" s="320"/>
      <c r="U17" s="333"/>
      <c r="V17" s="320"/>
      <c r="W17" s="320"/>
      <c r="X17" s="320"/>
      <c r="Y17" s="199">
        <f>X15</f>
        <v>0</v>
      </c>
      <c r="Z17" s="200" t="s">
        <v>1</v>
      </c>
      <c r="AA17" s="199">
        <f>IF(U15="5-ти элем",(R15-160+19),IF(U15="витрина",(R15-160+19),0))</f>
        <v>0</v>
      </c>
      <c r="AB17" s="199">
        <f>IF(U15="5-ти элем",(S15-160+19),IF(U15="витрина",(S15-160+19),0))</f>
        <v>0</v>
      </c>
      <c r="AC17" s="199">
        <f t="shared" ref="AC17" si="61">IF(U15="Гладкий",0,IF(U15="3-х элем",0,T15))</f>
        <v>0</v>
      </c>
      <c r="AD17" s="199">
        <f>IF(E18="Витрина","Стекло",H18)</f>
        <v>0</v>
      </c>
      <c r="AE17" s="326"/>
      <c r="AF17" s="199"/>
      <c r="AG17" s="201">
        <f t="shared" ref="AG17" si="62">IF(Y17=8,(AA17+AB17)*2*AC17/1000,0)</f>
        <v>0</v>
      </c>
      <c r="AH17" s="201">
        <v>0</v>
      </c>
      <c r="AI17" s="199"/>
      <c r="AJ17" s="206"/>
      <c r="AK17" s="203">
        <v>0</v>
      </c>
      <c r="AL17" s="199">
        <v>0</v>
      </c>
      <c r="AM17" s="199">
        <v>0</v>
      </c>
      <c r="AN17" s="202">
        <v>0</v>
      </c>
      <c r="AO17" s="204"/>
      <c r="AP17" s="172">
        <f>IF(AD17="Стекло",0,(AA17*AB17*AC17/1000000))</f>
        <v>0</v>
      </c>
      <c r="AQ17" s="168">
        <f t="shared" si="0"/>
        <v>0</v>
      </c>
      <c r="AR17" s="172"/>
      <c r="AS17" s="207" t="s">
        <v>175</v>
      </c>
      <c r="AT17" s="168"/>
      <c r="AU17" s="168"/>
      <c r="AV17" s="168"/>
      <c r="AW17" s="168" t="s">
        <v>66</v>
      </c>
      <c r="AX17" s="168"/>
      <c r="AY17" s="137"/>
    </row>
    <row r="18" spans="1:51" s="3" customFormat="1" ht="15.75" thickBot="1" x14ac:dyDescent="0.3">
      <c r="A18" s="161">
        <v>5</v>
      </c>
      <c r="B18" s="162">
        <f>'Фасады Клеаф'!D14</f>
        <v>0</v>
      </c>
      <c r="C18" s="162">
        <f>'Фасады Клеаф'!E14</f>
        <v>0</v>
      </c>
      <c r="D18" s="162">
        <f>'Фасады Клеаф'!F14</f>
        <v>0</v>
      </c>
      <c r="E18" s="162">
        <f>'Фасады Клеаф'!C14</f>
        <v>0</v>
      </c>
      <c r="F18" s="162">
        <v>18</v>
      </c>
      <c r="G18" s="158">
        <f t="shared" si="47"/>
        <v>0</v>
      </c>
      <c r="H18" s="163">
        <f>'Фасады Клеаф'!G14</f>
        <v>0</v>
      </c>
      <c r="I18" s="160"/>
      <c r="J18" s="184"/>
      <c r="K18" s="184"/>
      <c r="L18" s="184"/>
      <c r="M18" s="184"/>
      <c r="N18" s="184"/>
      <c r="O18" s="184"/>
      <c r="P18" s="168"/>
      <c r="Q18" s="321">
        <v>6</v>
      </c>
      <c r="R18" s="318">
        <f>Бланк!B19</f>
        <v>0</v>
      </c>
      <c r="S18" s="318">
        <f>Бланк!C19</f>
        <v>0</v>
      </c>
      <c r="T18" s="318">
        <f>Бланк!D19</f>
        <v>0</v>
      </c>
      <c r="U18" s="318">
        <f>Бланк!E19</f>
        <v>0</v>
      </c>
      <c r="V18" s="318">
        <f>IF(E19="Гладкий",0,(1*D19))</f>
        <v>0</v>
      </c>
      <c r="W18" s="318">
        <f>Бланк!F19</f>
        <v>18</v>
      </c>
      <c r="X18" s="318">
        <f>Бланк!G19</f>
        <v>0</v>
      </c>
      <c r="Y18" s="185">
        <f>W18</f>
        <v>18</v>
      </c>
      <c r="Z18" s="186" t="s">
        <v>14</v>
      </c>
      <c r="AA18" s="185">
        <f>R18</f>
        <v>0</v>
      </c>
      <c r="AB18" s="185">
        <f>IF(U18="Гладкий",S18,164)</f>
        <v>164</v>
      </c>
      <c r="AC18" s="185">
        <f t="shared" ref="AC18" si="63">IF(AA18&gt;0,T18,0)</f>
        <v>0</v>
      </c>
      <c r="AD18" s="185">
        <f>H19</f>
        <v>0</v>
      </c>
      <c r="AE18" s="324">
        <f>IF(U18="Гладкий",0,((R18+S18)*2*T18/1000))</f>
        <v>0</v>
      </c>
      <c r="AF18" s="187">
        <f>IF(U18="Гладкий",((AA18+AB18)*2*AC18/1000),(AA18*2*AC18/1000))</f>
        <v>0</v>
      </c>
      <c r="AG18" s="187">
        <f t="shared" ref="AG18" si="64">IF(U18="5-ти элем",((AA18+AB18)*2+AA18)*AC18/1000,IF(U18="Витрина",((AA18+AB18)*2+AA18)*AC18/1000,IF(U18="3-х элем",((AA18+AB18)*2+AA18)*AC18/1000,IF(U18="Гладкий",(AA18+AB18)*2*AC18/1000,0))))</f>
        <v>0</v>
      </c>
      <c r="AH18" s="185">
        <f>IF(U18="5-ти элем",(AA18*2*2*AC18/1000),IF(U18="витрина",(AA18*2*AC18/1000),0))</f>
        <v>0</v>
      </c>
      <c r="AI18" s="185">
        <f>IF(U18="5-ти элем",(16*T18),IF(U18="3-х элем",(12*T18),IF(U18="витрина",(16*T18),0)))</f>
        <v>0</v>
      </c>
      <c r="AJ18" s="188">
        <f>AF18+AE18</f>
        <v>0</v>
      </c>
      <c r="AK18" s="189">
        <f t="shared" ref="AK18" si="65">AD18</f>
        <v>0</v>
      </c>
      <c r="AL18" s="185">
        <f t="shared" ref="AL18" si="66">AK18</f>
        <v>0</v>
      </c>
      <c r="AM18" s="185">
        <f t="shared" ref="AM18" si="67">IF(U18="Гладкий",AK18, 0)</f>
        <v>0</v>
      </c>
      <c r="AN18" s="190">
        <f t="shared" ref="AN18" si="68">IF(U18="Гладкий",AK18, 0)</f>
        <v>0</v>
      </c>
      <c r="AO18" s="191">
        <f>IF(U18="5-ти элем","Paz 8 mm",IF(U18="витрина","Paz 4 mm",0))</f>
        <v>0</v>
      </c>
      <c r="AP18" s="172">
        <f t="shared" si="7"/>
        <v>0</v>
      </c>
      <c r="AQ18" s="168">
        <f t="shared" si="0"/>
        <v>0</v>
      </c>
      <c r="AR18" s="172">
        <f>AF18+AF19+AE18</f>
        <v>0</v>
      </c>
      <c r="AS18" s="207" t="s">
        <v>176</v>
      </c>
      <c r="AT18" s="168"/>
      <c r="AU18" s="168"/>
      <c r="AV18" s="168"/>
      <c r="AW18" s="168" t="s">
        <v>66</v>
      </c>
      <c r="AX18" s="168"/>
      <c r="AY18" s="137"/>
    </row>
    <row r="19" spans="1:51" s="3" customFormat="1" ht="15.75" thickBot="1" x14ac:dyDescent="0.3">
      <c r="A19" s="161">
        <v>6</v>
      </c>
      <c r="B19" s="162">
        <f>'Фасады Клеаф'!D15</f>
        <v>0</v>
      </c>
      <c r="C19" s="162">
        <f>'Фасады Клеаф'!E15</f>
        <v>0</v>
      </c>
      <c r="D19" s="162">
        <f>'Фасады Клеаф'!F15</f>
        <v>0</v>
      </c>
      <c r="E19" s="162">
        <f>'Фасады Клеаф'!C15</f>
        <v>0</v>
      </c>
      <c r="F19" s="162">
        <v>18</v>
      </c>
      <c r="G19" s="158">
        <f t="shared" si="47"/>
        <v>0</v>
      </c>
      <c r="H19" s="163">
        <f>'Фасады Клеаф'!G15</f>
        <v>0</v>
      </c>
      <c r="I19" s="160"/>
      <c r="J19" s="184"/>
      <c r="K19" s="184"/>
      <c r="L19" s="184"/>
      <c r="M19" s="184"/>
      <c r="N19" s="184"/>
      <c r="O19" s="184"/>
      <c r="P19" s="168"/>
      <c r="Q19" s="322"/>
      <c r="R19" s="319"/>
      <c r="S19" s="319"/>
      <c r="T19" s="319"/>
      <c r="U19" s="319"/>
      <c r="V19" s="319"/>
      <c r="W19" s="319"/>
      <c r="X19" s="319"/>
      <c r="Y19" s="181">
        <f>W18</f>
        <v>18</v>
      </c>
      <c r="Z19" s="192" t="s">
        <v>15</v>
      </c>
      <c r="AA19" s="181">
        <f>IF(U18="5-ти элем",(S18-160),IF(U18="витрина",(S18-160),IF(U18="3-х элем",(S18-160),0)))</f>
        <v>0</v>
      </c>
      <c r="AB19" s="181">
        <f>IF(U18="5-ти элем",164,IF(U18="витрина",164,IF(U18="3-х элем",R18,0)))</f>
        <v>0</v>
      </c>
      <c r="AC19" s="185">
        <f t="shared" ref="AC19" si="69">IF(AA19&gt;0,T18,0)</f>
        <v>0</v>
      </c>
      <c r="AD19" s="181">
        <f>H19</f>
        <v>0</v>
      </c>
      <c r="AE19" s="325"/>
      <c r="AF19" s="193">
        <f t="shared" ref="AF19" si="70">IF(U18="3-х элем",(AB19*2*AC19/1000),IF(U18="5-ти элем",((AA19+AB19)*2*AC19/1000),IF(U18="витрина",((AA19+AB19)*2*AC19/1000),0)))</f>
        <v>0</v>
      </c>
      <c r="AG19" s="187">
        <f t="shared" ref="AG19" si="71">IF(U18="5-ти элем",((AA19+AB19)*2+AA19)*AC19/1000,IF(U18="Витрина",((AA19+AB19)*2+AA19)*AC19/1000,IF(U18="3-х элем",(AA19+AB19)*2*AC19/1000,0)))</f>
        <v>0</v>
      </c>
      <c r="AH19" s="193">
        <f>IF(U18="5-ти элем",(AA19*2*2*AC19/1000),IF(U18="витрина",(AA19*2*AC19/1000),0))</f>
        <v>0</v>
      </c>
      <c r="AI19" s="181"/>
      <c r="AJ19" s="194">
        <f>AF19</f>
        <v>0</v>
      </c>
      <c r="AK19" s="195">
        <f t="shared" ref="AK19" si="72">IF(U18="5-ти элем",AK18,IF(U18="витрина",AK18,0))</f>
        <v>0</v>
      </c>
      <c r="AL19" s="181">
        <f t="shared" ref="AL19" si="73">IF(U18="5-ти элем",AK18,IF(U18="витрина",AK18,0))</f>
        <v>0</v>
      </c>
      <c r="AM19" s="181">
        <f t="shared" ref="AM19" si="74">IF(U18="Гладкий", 0,AK18)</f>
        <v>0</v>
      </c>
      <c r="AN19" s="196">
        <f t="shared" ref="AN19" si="75">IF(U18="Гладкий", 0,AK18)</f>
        <v>0</v>
      </c>
      <c r="AO19" s="197">
        <f>IF(U18="5-ти элем","Paz 8 mm",IF(U18="витрина","Paz 4 mm",0))</f>
        <v>0</v>
      </c>
      <c r="AP19" s="172">
        <f t="shared" si="7"/>
        <v>0</v>
      </c>
      <c r="AQ19" s="168">
        <f t="shared" si="0"/>
        <v>0</v>
      </c>
      <c r="AR19" s="172"/>
      <c r="AS19" s="207" t="s">
        <v>177</v>
      </c>
      <c r="AT19" s="168"/>
      <c r="AU19" s="168"/>
      <c r="AV19" s="168"/>
      <c r="AW19" s="168" t="s">
        <v>66</v>
      </c>
      <c r="AX19" s="168"/>
      <c r="AY19" s="137"/>
    </row>
    <row r="20" spans="1:51" s="3" customFormat="1" ht="15.75" thickBot="1" x14ac:dyDescent="0.3">
      <c r="A20" s="161">
        <v>7</v>
      </c>
      <c r="B20" s="162">
        <f>'Фасады Клеаф'!D16</f>
        <v>0</v>
      </c>
      <c r="C20" s="162">
        <f>'Фасады Клеаф'!E16</f>
        <v>0</v>
      </c>
      <c r="D20" s="162">
        <f>'Фасады Клеаф'!F16</f>
        <v>0</v>
      </c>
      <c r="E20" s="162">
        <f>'Фасады Клеаф'!C16</f>
        <v>0</v>
      </c>
      <c r="F20" s="162">
        <v>18</v>
      </c>
      <c r="G20" s="158">
        <f t="shared" si="47"/>
        <v>0</v>
      </c>
      <c r="H20" s="163">
        <f>'Фасады Клеаф'!G16</f>
        <v>0</v>
      </c>
      <c r="I20" s="160"/>
      <c r="J20" s="184"/>
      <c r="K20" s="184"/>
      <c r="L20" s="184"/>
      <c r="M20" s="184"/>
      <c r="N20" s="184"/>
      <c r="O20" s="184"/>
      <c r="P20" s="168"/>
      <c r="Q20" s="323"/>
      <c r="R20" s="320"/>
      <c r="S20" s="320"/>
      <c r="T20" s="320"/>
      <c r="U20" s="320"/>
      <c r="V20" s="320"/>
      <c r="W20" s="320"/>
      <c r="X20" s="320"/>
      <c r="Y20" s="199">
        <f>X18</f>
        <v>0</v>
      </c>
      <c r="Z20" s="200" t="s">
        <v>1</v>
      </c>
      <c r="AA20" s="199">
        <f>IF(U18="5-ти элем",(R18-160+19),IF(U18="витрина",(R18-160+19),0))</f>
        <v>0</v>
      </c>
      <c r="AB20" s="199">
        <f>IF(U18="5-ти элем",(S18-160+19),IF(U18="витрина",(S18-160+19),0))</f>
        <v>0</v>
      </c>
      <c r="AC20" s="199">
        <f t="shared" ref="AC20" si="76">IF(U18="Гладкий",0,IF(U18="3-х элем",0,T18))</f>
        <v>0</v>
      </c>
      <c r="AD20" s="199">
        <f>IF(E19="Витрина","Стекло",H19)</f>
        <v>0</v>
      </c>
      <c r="AE20" s="326"/>
      <c r="AF20" s="199"/>
      <c r="AG20" s="201">
        <f t="shared" ref="AG20" si="77">IF(Y20=8,(AA20+AB20)*2*AC20/1000,0)</f>
        <v>0</v>
      </c>
      <c r="AH20" s="201">
        <v>0</v>
      </c>
      <c r="AI20" s="199"/>
      <c r="AJ20" s="206"/>
      <c r="AK20" s="203">
        <v>0</v>
      </c>
      <c r="AL20" s="199">
        <v>0</v>
      </c>
      <c r="AM20" s="199">
        <v>0</v>
      </c>
      <c r="AN20" s="202">
        <v>0</v>
      </c>
      <c r="AO20" s="204"/>
      <c r="AP20" s="172">
        <f>IF(AD20="Стекло",0,(AA20*AB20*AC20/1000000))</f>
        <v>0</v>
      </c>
      <c r="AQ20" s="168">
        <f t="shared" si="0"/>
        <v>0</v>
      </c>
      <c r="AR20" s="172"/>
      <c r="AS20" s="207" t="s">
        <v>178</v>
      </c>
      <c r="AT20" s="168"/>
      <c r="AU20" s="168"/>
      <c r="AV20" s="168"/>
      <c r="AW20" s="168" t="s">
        <v>66</v>
      </c>
      <c r="AX20" s="168"/>
      <c r="AY20" s="137"/>
    </row>
    <row r="21" spans="1:51" s="3" customFormat="1" ht="15.75" thickBot="1" x14ac:dyDescent="0.3">
      <c r="A21" s="161">
        <v>8</v>
      </c>
      <c r="B21" s="162">
        <f>'Фасады Клеаф'!D17</f>
        <v>0</v>
      </c>
      <c r="C21" s="162">
        <f>'Фасады Клеаф'!E17</f>
        <v>0</v>
      </c>
      <c r="D21" s="162">
        <f>'Фасады Клеаф'!F17</f>
        <v>0</v>
      </c>
      <c r="E21" s="162">
        <f>'Фасады Клеаф'!C17</f>
        <v>0</v>
      </c>
      <c r="F21" s="162">
        <v>18</v>
      </c>
      <c r="G21" s="158">
        <f t="shared" si="47"/>
        <v>0</v>
      </c>
      <c r="H21" s="163">
        <f>'Фасады Клеаф'!G17</f>
        <v>0</v>
      </c>
      <c r="I21" s="160"/>
      <c r="J21" s="184"/>
      <c r="K21" s="184"/>
      <c r="L21" s="184"/>
      <c r="M21" s="184"/>
      <c r="N21" s="184"/>
      <c r="O21" s="184"/>
      <c r="P21" s="168"/>
      <c r="Q21" s="321">
        <v>7</v>
      </c>
      <c r="R21" s="318">
        <f>Бланк!B20</f>
        <v>0</v>
      </c>
      <c r="S21" s="318">
        <f>Бланк!C20</f>
        <v>0</v>
      </c>
      <c r="T21" s="318">
        <f>Бланк!D20</f>
        <v>0</v>
      </c>
      <c r="U21" s="318">
        <f>Бланк!E20</f>
        <v>0</v>
      </c>
      <c r="V21" s="318">
        <f>IF(E20="Гладкий",0,(1*D20))</f>
        <v>0</v>
      </c>
      <c r="W21" s="318">
        <f>Бланк!F20</f>
        <v>18</v>
      </c>
      <c r="X21" s="318">
        <f>Бланк!G20</f>
        <v>0</v>
      </c>
      <c r="Y21" s="185">
        <f>W21</f>
        <v>18</v>
      </c>
      <c r="Z21" s="186" t="s">
        <v>14</v>
      </c>
      <c r="AA21" s="185">
        <f>R21</f>
        <v>0</v>
      </c>
      <c r="AB21" s="185">
        <f>IF(U21="Гладкий",S21,164)</f>
        <v>164</v>
      </c>
      <c r="AC21" s="185">
        <f t="shared" ref="AC21" si="78">IF(AA21&gt;0,T21,0)</f>
        <v>0</v>
      </c>
      <c r="AD21" s="185">
        <f>H20</f>
        <v>0</v>
      </c>
      <c r="AE21" s="324">
        <f>IF(U21="Гладкий",0,((R21+S21)*2*T21/1000))</f>
        <v>0</v>
      </c>
      <c r="AF21" s="187">
        <f>IF(U21="Гладкий",((AA21+AB21)*2*AC21/1000),(AA21*2*AC21/1000))</f>
        <v>0</v>
      </c>
      <c r="AG21" s="187">
        <f t="shared" ref="AG21" si="79">IF(U21="5-ти элем",((AA21+AB21)*2+AA21)*AC21/1000,IF(U21="Витрина",((AA21+AB21)*2+AA21)*AC21/1000,IF(U21="3-х элем",((AA21+AB21)*2+AA21)*AC21/1000,IF(U21="Гладкий",(AA21+AB21)*2*AC21/1000,0))))</f>
        <v>0</v>
      </c>
      <c r="AH21" s="185">
        <f>IF(U21="5-ти элем",(AA21*2*2*AC21/1000),IF(U21="витрина",(AA21*2*AC21/1000),0))</f>
        <v>0</v>
      </c>
      <c r="AI21" s="185">
        <f>IF(U21="5-ти элем",(16*T21),IF(U21="3-х элем",(12*T21),IF(U21="витрина",(16*T21),0)))</f>
        <v>0</v>
      </c>
      <c r="AJ21" s="188">
        <f>AF21+AE21</f>
        <v>0</v>
      </c>
      <c r="AK21" s="189">
        <f t="shared" ref="AK21" si="80">AD21</f>
        <v>0</v>
      </c>
      <c r="AL21" s="185">
        <f t="shared" ref="AL21" si="81">AK21</f>
        <v>0</v>
      </c>
      <c r="AM21" s="185">
        <f t="shared" ref="AM21" si="82">IF(U21="Гладкий",AK21, 0)</f>
        <v>0</v>
      </c>
      <c r="AN21" s="190">
        <f t="shared" ref="AN21" si="83">IF(U21="Гладкий",AK21, 0)</f>
        <v>0</v>
      </c>
      <c r="AO21" s="191">
        <f>IF(U21="5-ти элем","Paz 8 mm",IF(U21="витрина","Paz 4 mm",0))</f>
        <v>0</v>
      </c>
      <c r="AP21" s="172">
        <f t="shared" si="7"/>
        <v>0</v>
      </c>
      <c r="AQ21" s="168">
        <f t="shared" si="0"/>
        <v>0</v>
      </c>
      <c r="AR21" s="172">
        <f>AF21+AF22+AE21</f>
        <v>0</v>
      </c>
      <c r="AS21" s="207" t="s">
        <v>179</v>
      </c>
      <c r="AT21" s="168"/>
      <c r="AU21" s="168"/>
      <c r="AV21" s="168"/>
      <c r="AW21" s="168"/>
      <c r="AX21" s="168"/>
      <c r="AY21" s="137"/>
    </row>
    <row r="22" spans="1:51" s="3" customFormat="1" ht="15.75" thickBot="1" x14ac:dyDescent="0.3">
      <c r="A22" s="161">
        <v>9</v>
      </c>
      <c r="B22" s="162">
        <f>'Фасады Клеаф'!D18</f>
        <v>0</v>
      </c>
      <c r="C22" s="162">
        <f>'Фасады Клеаф'!E18</f>
        <v>0</v>
      </c>
      <c r="D22" s="162">
        <f>'Фасады Клеаф'!F18</f>
        <v>0</v>
      </c>
      <c r="E22" s="162">
        <f>'Фасады Клеаф'!C18</f>
        <v>0</v>
      </c>
      <c r="F22" s="162">
        <v>18</v>
      </c>
      <c r="G22" s="158">
        <f t="shared" si="47"/>
        <v>0</v>
      </c>
      <c r="H22" s="163">
        <f>'Фасады Клеаф'!G18</f>
        <v>0</v>
      </c>
      <c r="I22" s="148"/>
      <c r="J22" s="184"/>
      <c r="K22" s="184"/>
      <c r="L22" s="184"/>
      <c r="M22" s="184"/>
      <c r="N22" s="184"/>
      <c r="O22" s="184"/>
      <c r="P22" s="168"/>
      <c r="Q22" s="322"/>
      <c r="R22" s="319"/>
      <c r="S22" s="319"/>
      <c r="T22" s="319"/>
      <c r="U22" s="319"/>
      <c r="V22" s="319"/>
      <c r="W22" s="319"/>
      <c r="X22" s="319"/>
      <c r="Y22" s="181">
        <f>W21</f>
        <v>18</v>
      </c>
      <c r="Z22" s="192" t="s">
        <v>15</v>
      </c>
      <c r="AA22" s="181">
        <f>IF(U21="5-ти элем",(S21-160),IF(U21="витрина",(S21-160),IF(U21="3-х элем",(S21-160),0)))</f>
        <v>0</v>
      </c>
      <c r="AB22" s="181">
        <f>IF(U21="5-ти элем",164,IF(U21="витрина",164,IF(U21="3-х элем",R21,0)))</f>
        <v>0</v>
      </c>
      <c r="AC22" s="185">
        <f t="shared" ref="AC22" si="84">IF(AA22&gt;0,T21,0)</f>
        <v>0</v>
      </c>
      <c r="AD22" s="181">
        <f>H20</f>
        <v>0</v>
      </c>
      <c r="AE22" s="325"/>
      <c r="AF22" s="193">
        <f t="shared" ref="AF22" si="85">IF(U21="3-х элем",(AB22*2*AC22/1000),IF(U21="5-ти элем",((AA22+AB22)*2*AC22/1000),IF(U21="витрина",((AA22+AB22)*2*AC22/1000),0)))</f>
        <v>0</v>
      </c>
      <c r="AG22" s="187">
        <f t="shared" ref="AG22" si="86">IF(U21="5-ти элем",((AA22+AB22)*2+AA22)*AC22/1000,IF(U21="Витрина",((AA22+AB22)*2+AA22)*AC22/1000,IF(U21="3-х элем",(AA22+AB22)*2*AC22/1000,0)))</f>
        <v>0</v>
      </c>
      <c r="AH22" s="193">
        <f>IF(U21="5-ти элем",(AA22*2*2*AC22/1000),IF(U21="витрина",(AA22*2*AC22/1000),0))</f>
        <v>0</v>
      </c>
      <c r="AI22" s="181"/>
      <c r="AJ22" s="194">
        <f>AF22</f>
        <v>0</v>
      </c>
      <c r="AK22" s="195">
        <f t="shared" ref="AK22" si="87">IF(U21="5-ти элем",AK21,IF(U21="витрина",AK21,0))</f>
        <v>0</v>
      </c>
      <c r="AL22" s="181">
        <f t="shared" ref="AL22" si="88">IF(U21="5-ти элем",AK21,IF(U21="витрина",AK21,0))</f>
        <v>0</v>
      </c>
      <c r="AM22" s="181">
        <f t="shared" ref="AM22" si="89">IF(U21="Гладкий", 0,AK21)</f>
        <v>0</v>
      </c>
      <c r="AN22" s="196">
        <f t="shared" ref="AN22" si="90">IF(U21="Гладкий", 0,AK21)</f>
        <v>0</v>
      </c>
      <c r="AO22" s="197">
        <f>IF(U21="5-ти элем","Paz 8 mm",IF(U21="витрина","Paz 4 mm",0))</f>
        <v>0</v>
      </c>
      <c r="AP22" s="172">
        <f t="shared" si="7"/>
        <v>0</v>
      </c>
      <c r="AQ22" s="168">
        <f t="shared" si="0"/>
        <v>0</v>
      </c>
      <c r="AR22" s="172"/>
      <c r="AS22" s="207" t="s">
        <v>180</v>
      </c>
      <c r="AT22" s="168"/>
      <c r="AU22" s="168"/>
      <c r="AV22" s="168"/>
      <c r="AW22" s="168"/>
      <c r="AX22" s="168"/>
      <c r="AY22" s="137"/>
    </row>
    <row r="23" spans="1:51" ht="15.75" thickBot="1" x14ac:dyDescent="0.3">
      <c r="A23" s="161">
        <v>10</v>
      </c>
      <c r="B23" s="162">
        <f>'Фасады Клеаф'!D19</f>
        <v>0</v>
      </c>
      <c r="C23" s="162">
        <f>'Фасады Клеаф'!E19</f>
        <v>0</v>
      </c>
      <c r="D23" s="162">
        <f>'Фасады Клеаф'!F19</f>
        <v>0</v>
      </c>
      <c r="E23" s="162">
        <f>'Фасады Клеаф'!C19</f>
        <v>0</v>
      </c>
      <c r="F23" s="162">
        <v>18</v>
      </c>
      <c r="G23" s="158">
        <f t="shared" si="47"/>
        <v>0</v>
      </c>
      <c r="H23" s="163">
        <f>'Фасады Клеаф'!G19</f>
        <v>0</v>
      </c>
      <c r="I23" s="148"/>
      <c r="J23" s="184"/>
      <c r="K23" s="184"/>
      <c r="L23" s="184"/>
      <c r="M23" s="184"/>
      <c r="N23" s="184"/>
      <c r="O23" s="184"/>
      <c r="P23" s="184"/>
      <c r="Q23" s="323"/>
      <c r="R23" s="320"/>
      <c r="S23" s="320"/>
      <c r="T23" s="320"/>
      <c r="U23" s="320"/>
      <c r="V23" s="320"/>
      <c r="W23" s="320"/>
      <c r="X23" s="320"/>
      <c r="Y23" s="199">
        <f>X21</f>
        <v>0</v>
      </c>
      <c r="Z23" s="200" t="s">
        <v>1</v>
      </c>
      <c r="AA23" s="199">
        <f>IF(U21="5-ти элем",(R21-160+19),IF(U21="витрина",(R21-160+19),0))</f>
        <v>0</v>
      </c>
      <c r="AB23" s="199">
        <f>IF(U21="5-ти элем",(S21-160+19),IF(U21="витрина",(S21-160+19),0))</f>
        <v>0</v>
      </c>
      <c r="AC23" s="199">
        <f t="shared" ref="AC23" si="91">IF(U21="Гладкий",0,IF(U21="3-х элем",0,T21))</f>
        <v>0</v>
      </c>
      <c r="AD23" s="199">
        <f>IF(E20="Витрина","Стекло",H20)</f>
        <v>0</v>
      </c>
      <c r="AE23" s="326"/>
      <c r="AF23" s="199"/>
      <c r="AG23" s="201">
        <f t="shared" ref="AG23" si="92">IF(Y23=8,(AA23+AB23)*2*AC23/1000,0)</f>
        <v>0</v>
      </c>
      <c r="AH23" s="201">
        <v>0</v>
      </c>
      <c r="AI23" s="199"/>
      <c r="AJ23" s="206"/>
      <c r="AK23" s="203">
        <v>0</v>
      </c>
      <c r="AL23" s="199">
        <v>0</v>
      </c>
      <c r="AM23" s="199">
        <v>0</v>
      </c>
      <c r="AN23" s="202">
        <v>0</v>
      </c>
      <c r="AO23" s="204"/>
      <c r="AP23" s="172">
        <f>IF(AD23="Стекло",0,(AA23*AB23*AC23/1000000))</f>
        <v>0</v>
      </c>
      <c r="AQ23" s="168">
        <f t="shared" si="0"/>
        <v>0</v>
      </c>
      <c r="AR23" s="172"/>
      <c r="AS23" s="207" t="s">
        <v>181</v>
      </c>
      <c r="AT23" s="184"/>
      <c r="AU23" s="184"/>
      <c r="AV23" s="184"/>
      <c r="AW23" s="184"/>
      <c r="AX23" s="184"/>
      <c r="AY23" s="138"/>
    </row>
    <row r="24" spans="1:51" ht="15.75" thickBot="1" x14ac:dyDescent="0.3">
      <c r="A24" s="161">
        <v>11</v>
      </c>
      <c r="B24" s="162">
        <f>'Фасады Клеаф'!D20</f>
        <v>0</v>
      </c>
      <c r="C24" s="162">
        <f>'Фасады Клеаф'!E20</f>
        <v>0</v>
      </c>
      <c r="D24" s="162">
        <f>'Фасады Клеаф'!F20</f>
        <v>0</v>
      </c>
      <c r="E24" s="162">
        <f>'Фасады Клеаф'!C20</f>
        <v>0</v>
      </c>
      <c r="F24" s="162">
        <v>18</v>
      </c>
      <c r="G24" s="158">
        <f t="shared" si="47"/>
        <v>0</v>
      </c>
      <c r="H24" s="163">
        <f>'Фасады Клеаф'!G20</f>
        <v>0</v>
      </c>
      <c r="I24" s="148"/>
      <c r="J24" s="184"/>
      <c r="K24" s="184"/>
      <c r="L24" s="184"/>
      <c r="M24" s="184"/>
      <c r="N24" s="184"/>
      <c r="O24" s="184"/>
      <c r="P24" s="184"/>
      <c r="Q24" s="321">
        <v>8</v>
      </c>
      <c r="R24" s="318">
        <f>Бланк!B21</f>
        <v>0</v>
      </c>
      <c r="S24" s="318">
        <f>Бланк!C21</f>
        <v>0</v>
      </c>
      <c r="T24" s="318">
        <f>Бланк!D21</f>
        <v>0</v>
      </c>
      <c r="U24" s="318">
        <f>Бланк!E21</f>
        <v>0</v>
      </c>
      <c r="V24" s="318">
        <f>IF(E21="Гладкий",0,(1*D21))</f>
        <v>0</v>
      </c>
      <c r="W24" s="318">
        <f>Бланк!F21</f>
        <v>18</v>
      </c>
      <c r="X24" s="318">
        <f>Бланк!G21</f>
        <v>0</v>
      </c>
      <c r="Y24" s="185">
        <f>W24</f>
        <v>18</v>
      </c>
      <c r="Z24" s="186" t="s">
        <v>14</v>
      </c>
      <c r="AA24" s="185">
        <f>R24</f>
        <v>0</v>
      </c>
      <c r="AB24" s="185">
        <f>IF(U24="Гладкий",S24,164)</f>
        <v>164</v>
      </c>
      <c r="AC24" s="185">
        <f t="shared" ref="AC24" si="93">IF(AA24&gt;0,T24,0)</f>
        <v>0</v>
      </c>
      <c r="AD24" s="185">
        <f>H21</f>
        <v>0</v>
      </c>
      <c r="AE24" s="324">
        <f>IF(U24="Гладкий",0,((R24+S24)*2*T24/1000))</f>
        <v>0</v>
      </c>
      <c r="AF24" s="187">
        <f>IF(U24="Гладкий",((AA24+AB24)*2*AC24/1000),(AA24*2*AC24/1000))</f>
        <v>0</v>
      </c>
      <c r="AG24" s="187">
        <f t="shared" ref="AG24" si="94">IF(U24="5-ти элем",((AA24+AB24)*2+AA24)*AC24/1000,IF(U24="Витрина",((AA24+AB24)*2+AA24)*AC24/1000,IF(U24="3-х элем",((AA24+AB24)*2+AA24)*AC24/1000,IF(U24="Гладкий",(AA24+AB24)*2*AC24/1000,0))))</f>
        <v>0</v>
      </c>
      <c r="AH24" s="185">
        <f>IF(U24="5-ти элем",(AA24*2*2*AC24/1000),IF(U24="витрина",(AA24*2*AC24/1000),0))</f>
        <v>0</v>
      </c>
      <c r="AI24" s="185">
        <f>IF(U24="5-ти элем",(16*T24),IF(U24="3-х элем",(12*T24),IF(U24="витрина",(16*T24),0)))</f>
        <v>0</v>
      </c>
      <c r="AJ24" s="188">
        <f>AF24+AE24</f>
        <v>0</v>
      </c>
      <c r="AK24" s="189">
        <f t="shared" ref="AK24" si="95">AD24</f>
        <v>0</v>
      </c>
      <c r="AL24" s="185">
        <f t="shared" ref="AL24" si="96">AK24</f>
        <v>0</v>
      </c>
      <c r="AM24" s="185">
        <f t="shared" ref="AM24" si="97">IF(U24="Гладкий",AK24, 0)</f>
        <v>0</v>
      </c>
      <c r="AN24" s="190">
        <f t="shared" ref="AN24" si="98">IF(U24="Гладкий",AK24, 0)</f>
        <v>0</v>
      </c>
      <c r="AO24" s="191">
        <f>IF(U24="5-ти элем","Paz 8 mm",IF(U24="витрина","Paz 4 mm",0))</f>
        <v>0</v>
      </c>
      <c r="AP24" s="172">
        <f t="shared" si="7"/>
        <v>0</v>
      </c>
      <c r="AQ24" s="168">
        <f t="shared" si="0"/>
        <v>0</v>
      </c>
      <c r="AR24" s="172">
        <f>AF24+AF25+AE24</f>
        <v>0</v>
      </c>
      <c r="AS24" s="207" t="s">
        <v>182</v>
      </c>
      <c r="AT24" s="184"/>
      <c r="AU24" s="184"/>
      <c r="AV24" s="184"/>
      <c r="AW24" s="184"/>
      <c r="AX24" s="184"/>
      <c r="AY24" s="138"/>
    </row>
    <row r="25" spans="1:51" ht="15.75" thickBot="1" x14ac:dyDescent="0.3">
      <c r="A25" s="161">
        <v>12</v>
      </c>
      <c r="B25" s="162">
        <f>'Фасады Клеаф'!D21</f>
        <v>0</v>
      </c>
      <c r="C25" s="162">
        <f>'Фасады Клеаф'!E21</f>
        <v>0</v>
      </c>
      <c r="D25" s="162">
        <f>'Фасады Клеаф'!F21</f>
        <v>0</v>
      </c>
      <c r="E25" s="162">
        <f>'Фасады Клеаф'!C21</f>
        <v>0</v>
      </c>
      <c r="F25" s="162">
        <v>18</v>
      </c>
      <c r="G25" s="158">
        <f t="shared" si="47"/>
        <v>0</v>
      </c>
      <c r="H25" s="163">
        <f>'Фасады Клеаф'!G21</f>
        <v>0</v>
      </c>
      <c r="I25" s="148"/>
      <c r="J25" s="184"/>
      <c r="K25" s="184"/>
      <c r="L25" s="184"/>
      <c r="M25" s="184"/>
      <c r="N25" s="184"/>
      <c r="O25" s="184"/>
      <c r="P25" s="184"/>
      <c r="Q25" s="322"/>
      <c r="R25" s="319"/>
      <c r="S25" s="319"/>
      <c r="T25" s="319"/>
      <c r="U25" s="319"/>
      <c r="V25" s="319"/>
      <c r="W25" s="319"/>
      <c r="X25" s="319"/>
      <c r="Y25" s="181">
        <f>W24</f>
        <v>18</v>
      </c>
      <c r="Z25" s="192" t="s">
        <v>15</v>
      </c>
      <c r="AA25" s="181">
        <f>IF(U24="5-ти элем",(S24-160),IF(U24="витрина",(S24-160),IF(U24="3-х элем",(S24-160),0)))</f>
        <v>0</v>
      </c>
      <c r="AB25" s="181">
        <f>IF(U24="5-ти элем",164,IF(U24="витрина",164,IF(U24="3-х элем",R24,0)))</f>
        <v>0</v>
      </c>
      <c r="AC25" s="185">
        <f t="shared" ref="AC25" si="99">IF(AA25&gt;0,T24,0)</f>
        <v>0</v>
      </c>
      <c r="AD25" s="181">
        <f>H21</f>
        <v>0</v>
      </c>
      <c r="AE25" s="325"/>
      <c r="AF25" s="193">
        <f t="shared" ref="AF25" si="100">IF(U24="3-х элем",(AB25*2*AC25/1000),IF(U24="5-ти элем",((AA25+AB25)*2*AC25/1000),IF(U24="витрина",((AA25+AB25)*2*AC25/1000),0)))</f>
        <v>0</v>
      </c>
      <c r="AG25" s="187">
        <f t="shared" ref="AG25" si="101">IF(U24="5-ти элем",((AA25+AB25)*2+AA25)*AC25/1000,IF(U24="Витрина",((AA25+AB25)*2+AA25)*AC25/1000,IF(U24="3-х элем",(AA25+AB25)*2*AC25/1000,0)))</f>
        <v>0</v>
      </c>
      <c r="AH25" s="193">
        <f>IF(U24="5-ти элем",(AA25*2*2*AC25/1000),IF(U24="витрина",(AA25*2*AC25/1000),0))</f>
        <v>0</v>
      </c>
      <c r="AI25" s="181"/>
      <c r="AJ25" s="194">
        <f>AF25</f>
        <v>0</v>
      </c>
      <c r="AK25" s="195">
        <f t="shared" ref="AK25" si="102">IF(U24="5-ти элем",AK24,IF(U24="витрина",AK24,0))</f>
        <v>0</v>
      </c>
      <c r="AL25" s="181">
        <f t="shared" ref="AL25" si="103">IF(U24="5-ти элем",AK24,IF(U24="витрина",AK24,0))</f>
        <v>0</v>
      </c>
      <c r="AM25" s="181">
        <f t="shared" ref="AM25" si="104">IF(U24="Гладкий", 0,AK24)</f>
        <v>0</v>
      </c>
      <c r="AN25" s="196">
        <f t="shared" ref="AN25" si="105">IF(U24="Гладкий", 0,AK24)</f>
        <v>0</v>
      </c>
      <c r="AO25" s="197">
        <f>IF(U24="5-ти элем","Paz 8 mm",IF(U24="витрина","Paz 4 mm",0))</f>
        <v>0</v>
      </c>
      <c r="AP25" s="172">
        <f t="shared" si="7"/>
        <v>0</v>
      </c>
      <c r="AQ25" s="168">
        <f t="shared" si="0"/>
        <v>0</v>
      </c>
      <c r="AR25" s="172"/>
      <c r="AS25" s="207" t="s">
        <v>183</v>
      </c>
      <c r="AT25" s="184"/>
      <c r="AU25" s="184"/>
      <c r="AV25" s="184"/>
      <c r="AW25" s="184"/>
      <c r="AX25" s="184"/>
      <c r="AY25" s="138"/>
    </row>
    <row r="26" spans="1:51" ht="15.75" thickBot="1" x14ac:dyDescent="0.3">
      <c r="A26" s="161">
        <v>13</v>
      </c>
      <c r="B26" s="162">
        <f>'Фасады Клеаф'!D22</f>
        <v>0</v>
      </c>
      <c r="C26" s="162">
        <f>'Фасады Клеаф'!E22</f>
        <v>0</v>
      </c>
      <c r="D26" s="162">
        <f>'Фасады Клеаф'!F22</f>
        <v>0</v>
      </c>
      <c r="E26" s="162">
        <f>'Фасады Клеаф'!C22</f>
        <v>0</v>
      </c>
      <c r="F26" s="162">
        <v>18</v>
      </c>
      <c r="G26" s="158">
        <f t="shared" si="47"/>
        <v>0</v>
      </c>
      <c r="H26" s="163">
        <f>'Фасады Клеаф'!G22</f>
        <v>0</v>
      </c>
      <c r="I26" s="148"/>
      <c r="J26" s="184"/>
      <c r="K26" s="184"/>
      <c r="L26" s="184"/>
      <c r="M26" s="184"/>
      <c r="N26" s="184"/>
      <c r="O26" s="184"/>
      <c r="P26" s="184"/>
      <c r="Q26" s="323"/>
      <c r="R26" s="320"/>
      <c r="S26" s="320"/>
      <c r="T26" s="320"/>
      <c r="U26" s="320"/>
      <c r="V26" s="320"/>
      <c r="W26" s="320"/>
      <c r="X26" s="320"/>
      <c r="Y26" s="199">
        <f>X24</f>
        <v>0</v>
      </c>
      <c r="Z26" s="200" t="s">
        <v>1</v>
      </c>
      <c r="AA26" s="199">
        <f>IF(U24="5-ти элем",(R24-160+19),IF(U24="витрина",(R24-160+19),0))</f>
        <v>0</v>
      </c>
      <c r="AB26" s="199">
        <f>IF(U24="5-ти элем",(S24-160+19),IF(U24="витрина",(S24-160+19),0))</f>
        <v>0</v>
      </c>
      <c r="AC26" s="199">
        <f t="shared" ref="AC26" si="106">IF(U24="Гладкий",0,IF(U24="3-х элем",0,T24))</f>
        <v>0</v>
      </c>
      <c r="AD26" s="199">
        <f>IF(E21="Витрина","Стекло",H21)</f>
        <v>0</v>
      </c>
      <c r="AE26" s="326"/>
      <c r="AF26" s="199"/>
      <c r="AG26" s="201">
        <f t="shared" ref="AG26" si="107">IF(Y26=8,(AA26+AB26)*2*AC26/1000,0)</f>
        <v>0</v>
      </c>
      <c r="AH26" s="201">
        <v>0</v>
      </c>
      <c r="AI26" s="199"/>
      <c r="AJ26" s="206"/>
      <c r="AK26" s="203">
        <v>0</v>
      </c>
      <c r="AL26" s="199">
        <v>0</v>
      </c>
      <c r="AM26" s="199">
        <v>0</v>
      </c>
      <c r="AN26" s="202">
        <v>0</v>
      </c>
      <c r="AO26" s="204"/>
      <c r="AP26" s="172">
        <f>IF(AD26="Стекло",0,(AA26*AB26*AC26/1000000))</f>
        <v>0</v>
      </c>
      <c r="AQ26" s="168">
        <f t="shared" si="0"/>
        <v>0</v>
      </c>
      <c r="AR26" s="172"/>
      <c r="AS26" s="207" t="s">
        <v>184</v>
      </c>
      <c r="AT26" s="184"/>
      <c r="AU26" s="184"/>
      <c r="AV26" s="184"/>
      <c r="AW26" s="184"/>
      <c r="AX26" s="184"/>
      <c r="AY26" s="138"/>
    </row>
    <row r="27" spans="1:51" ht="15.75" thickBot="1" x14ac:dyDescent="0.3">
      <c r="A27" s="161">
        <v>14</v>
      </c>
      <c r="B27" s="162">
        <f>'Фасады Клеаф'!D23</f>
        <v>0</v>
      </c>
      <c r="C27" s="162">
        <f>'Фасады Клеаф'!E23</f>
        <v>0</v>
      </c>
      <c r="D27" s="162">
        <f>'Фасады Клеаф'!F23</f>
        <v>0</v>
      </c>
      <c r="E27" s="162">
        <f>'Фасады Клеаф'!C23</f>
        <v>0</v>
      </c>
      <c r="F27" s="162">
        <v>18</v>
      </c>
      <c r="G27" s="158">
        <f t="shared" si="47"/>
        <v>0</v>
      </c>
      <c r="H27" s="163">
        <f>'Фасады Клеаф'!G23</f>
        <v>0</v>
      </c>
      <c r="I27" s="148"/>
      <c r="J27" s="184"/>
      <c r="K27" s="184"/>
      <c r="L27" s="184"/>
      <c r="M27" s="184"/>
      <c r="N27" s="184"/>
      <c r="O27" s="184"/>
      <c r="P27" s="184"/>
      <c r="Q27" s="321">
        <v>9</v>
      </c>
      <c r="R27" s="318">
        <f>Бланк!B22</f>
        <v>0</v>
      </c>
      <c r="S27" s="318">
        <f>Бланк!C22</f>
        <v>0</v>
      </c>
      <c r="T27" s="318">
        <f>Бланк!D22</f>
        <v>0</v>
      </c>
      <c r="U27" s="318">
        <f>Бланк!E22</f>
        <v>0</v>
      </c>
      <c r="V27" s="318">
        <f>IF(E22="Гладкий",0,(1*D22))</f>
        <v>0</v>
      </c>
      <c r="W27" s="318">
        <f>Бланк!F22</f>
        <v>18</v>
      </c>
      <c r="X27" s="318">
        <f>Бланк!G22</f>
        <v>0</v>
      </c>
      <c r="Y27" s="185">
        <f>W27</f>
        <v>18</v>
      </c>
      <c r="Z27" s="186" t="s">
        <v>14</v>
      </c>
      <c r="AA27" s="185">
        <f>R27</f>
        <v>0</v>
      </c>
      <c r="AB27" s="185">
        <f>IF(U27="Гладкий",S27,164)</f>
        <v>164</v>
      </c>
      <c r="AC27" s="185">
        <f t="shared" ref="AC27" si="108">IF(AA27&gt;0,T27,0)</f>
        <v>0</v>
      </c>
      <c r="AD27" s="185">
        <f>H22</f>
        <v>0</v>
      </c>
      <c r="AE27" s="324">
        <f>IF(U27="Гладкий",0,((R27+S27)*2*T27/1000))</f>
        <v>0</v>
      </c>
      <c r="AF27" s="187">
        <f>IF(U27="Гладкий",((AA27+AB27)*2*AC27/1000),(AA27*2*AC27/1000))</f>
        <v>0</v>
      </c>
      <c r="AG27" s="187">
        <f t="shared" ref="AG27" si="109">IF(U27="5-ти элем",((AA27+AB27)*2+AA27)*AC27/1000,IF(U27="Витрина",((AA27+AB27)*2+AA27)*AC27/1000,IF(U27="3-х элем",((AA27+AB27)*2+AA27)*AC27/1000,IF(U27="Гладкий",(AA27+AB27)*2*AC27/1000,0))))</f>
        <v>0</v>
      </c>
      <c r="AH27" s="185">
        <f>IF(U27="5-ти элем",(AA27*2*2*AC27/1000),IF(U27="витрина",(AA27*2*AC27/1000),0))</f>
        <v>0</v>
      </c>
      <c r="AI27" s="185">
        <f>IF(U27="5-ти элем",(16*T27),IF(U27="3-х элем",(12*T27),IF(U27="витрина",(16*T27),0)))</f>
        <v>0</v>
      </c>
      <c r="AJ27" s="188">
        <f>AF27+AE27</f>
        <v>0</v>
      </c>
      <c r="AK27" s="189">
        <f t="shared" ref="AK27" si="110">AD27</f>
        <v>0</v>
      </c>
      <c r="AL27" s="185">
        <f t="shared" ref="AL27" si="111">AK27</f>
        <v>0</v>
      </c>
      <c r="AM27" s="185">
        <f t="shared" ref="AM27" si="112">IF(U27="Гладкий",AK27, 0)</f>
        <v>0</v>
      </c>
      <c r="AN27" s="190">
        <f t="shared" ref="AN27" si="113">IF(U27="Гладкий",AK27, 0)</f>
        <v>0</v>
      </c>
      <c r="AO27" s="191">
        <f>IF(U27="5-ти элем","Paz 8 mm",IF(U27="витрина","Paz 4 mm",0))</f>
        <v>0</v>
      </c>
      <c r="AP27" s="172">
        <f t="shared" si="7"/>
        <v>0</v>
      </c>
      <c r="AQ27" s="168">
        <f t="shared" si="0"/>
        <v>0</v>
      </c>
      <c r="AR27" s="172">
        <f>AF27+AF28+AE27</f>
        <v>0</v>
      </c>
      <c r="AS27" s="207" t="s">
        <v>185</v>
      </c>
      <c r="AT27" s="184"/>
      <c r="AU27" s="184"/>
      <c r="AV27" s="184"/>
      <c r="AW27" s="184"/>
      <c r="AX27" s="184"/>
      <c r="AY27" s="138"/>
    </row>
    <row r="28" spans="1:51" ht="15.75" thickBot="1" x14ac:dyDescent="0.3">
      <c r="A28" s="161">
        <v>15</v>
      </c>
      <c r="B28" s="162">
        <f>'Фасады Клеаф'!D24</f>
        <v>0</v>
      </c>
      <c r="C28" s="162">
        <f>'Фасады Клеаф'!E24</f>
        <v>0</v>
      </c>
      <c r="D28" s="162">
        <f>'Фасады Клеаф'!F24</f>
        <v>0</v>
      </c>
      <c r="E28" s="162">
        <f>'Фасады Клеаф'!C24</f>
        <v>0</v>
      </c>
      <c r="F28" s="162">
        <v>18</v>
      </c>
      <c r="G28" s="158">
        <f t="shared" si="47"/>
        <v>0</v>
      </c>
      <c r="H28" s="163">
        <f>'Фасады Клеаф'!G24</f>
        <v>0</v>
      </c>
      <c r="I28" s="148"/>
      <c r="J28" s="184"/>
      <c r="K28" s="184"/>
      <c r="L28" s="184"/>
      <c r="M28" s="184"/>
      <c r="N28" s="184"/>
      <c r="O28" s="184"/>
      <c r="P28" s="184"/>
      <c r="Q28" s="322"/>
      <c r="R28" s="319"/>
      <c r="S28" s="319"/>
      <c r="T28" s="319"/>
      <c r="U28" s="319"/>
      <c r="V28" s="319"/>
      <c r="W28" s="319"/>
      <c r="X28" s="319"/>
      <c r="Y28" s="181">
        <f>W27</f>
        <v>18</v>
      </c>
      <c r="Z28" s="192" t="s">
        <v>15</v>
      </c>
      <c r="AA28" s="181">
        <f>IF(U27="5-ти элем",(S27-160),IF(U27="витрина",(S27-160),IF(U27="3-х элем",(S27-160),0)))</f>
        <v>0</v>
      </c>
      <c r="AB28" s="181">
        <f>IF(U27="5-ти элем",164,IF(U27="витрина",164,IF(U27="3-х элем",R27,0)))</f>
        <v>0</v>
      </c>
      <c r="AC28" s="185">
        <f t="shared" ref="AC28" si="114">IF(AA28&gt;0,T27,0)</f>
        <v>0</v>
      </c>
      <c r="AD28" s="181">
        <f>H22</f>
        <v>0</v>
      </c>
      <c r="AE28" s="325"/>
      <c r="AF28" s="193">
        <f t="shared" ref="AF28" si="115">IF(U27="3-х элем",(AB28*2*AC28/1000),IF(U27="5-ти элем",((AA28+AB28)*2*AC28/1000),IF(U27="витрина",((AA28+AB28)*2*AC28/1000),0)))</f>
        <v>0</v>
      </c>
      <c r="AG28" s="187">
        <f t="shared" ref="AG28" si="116">IF(U27="5-ти элем",((AA28+AB28)*2+AA28)*AC28/1000,IF(U27="Витрина",((AA28+AB28)*2+AA28)*AC28/1000,IF(U27="3-х элем",(AA28+AB28)*2*AC28/1000,0)))</f>
        <v>0</v>
      </c>
      <c r="AH28" s="193">
        <f>IF(U27="5-ти элем",(AA28*2*2*AC28/1000),IF(U27="витрина",(AA28*2*AC28/1000),0))</f>
        <v>0</v>
      </c>
      <c r="AI28" s="181"/>
      <c r="AJ28" s="194">
        <f>AF28</f>
        <v>0</v>
      </c>
      <c r="AK28" s="195">
        <f t="shared" ref="AK28" si="117">IF(U27="5-ти элем",AK27,IF(U27="витрина",AK27,0))</f>
        <v>0</v>
      </c>
      <c r="AL28" s="181">
        <f t="shared" ref="AL28" si="118">IF(U27="5-ти элем",AK27,IF(U27="витрина",AK27,0))</f>
        <v>0</v>
      </c>
      <c r="AM28" s="181">
        <f t="shared" ref="AM28" si="119">IF(U27="Гладкий", 0,AK27)</f>
        <v>0</v>
      </c>
      <c r="AN28" s="196">
        <f t="shared" ref="AN28" si="120">IF(U27="Гладкий", 0,AK27)</f>
        <v>0</v>
      </c>
      <c r="AO28" s="197">
        <f>IF(U27="5-ти элем","Paz 8 mm",IF(U27="витрина","Paz 4 mm",0))</f>
        <v>0</v>
      </c>
      <c r="AP28" s="172">
        <f t="shared" si="7"/>
        <v>0</v>
      </c>
      <c r="AQ28" s="168">
        <f t="shared" si="0"/>
        <v>0</v>
      </c>
      <c r="AR28" s="172"/>
      <c r="AS28" s="207" t="s">
        <v>186</v>
      </c>
      <c r="AT28" s="184"/>
      <c r="AU28" s="184"/>
      <c r="AV28" s="184"/>
      <c r="AW28" s="184"/>
      <c r="AX28" s="184"/>
      <c r="AY28" s="138"/>
    </row>
    <row r="29" spans="1:51" ht="15.75" thickBot="1" x14ac:dyDescent="0.3">
      <c r="A29" s="161">
        <v>16</v>
      </c>
      <c r="B29" s="162">
        <f>'Фасады Клеаф'!D25</f>
        <v>0</v>
      </c>
      <c r="C29" s="162">
        <f>'Фасады Клеаф'!E25</f>
        <v>0</v>
      </c>
      <c r="D29" s="162">
        <f>'Фасады Клеаф'!F25</f>
        <v>0</v>
      </c>
      <c r="E29" s="162">
        <f>'Фасады Клеаф'!C25</f>
        <v>0</v>
      </c>
      <c r="F29" s="162">
        <v>18</v>
      </c>
      <c r="G29" s="158">
        <f t="shared" si="47"/>
        <v>0</v>
      </c>
      <c r="H29" s="163">
        <f>'Фасады Клеаф'!G25</f>
        <v>0</v>
      </c>
      <c r="I29" s="148"/>
      <c r="J29" s="184"/>
      <c r="K29" s="184"/>
      <c r="L29" s="184"/>
      <c r="M29" s="184"/>
      <c r="N29" s="184"/>
      <c r="O29" s="184"/>
      <c r="P29" s="184"/>
      <c r="Q29" s="323"/>
      <c r="R29" s="320"/>
      <c r="S29" s="320"/>
      <c r="T29" s="320"/>
      <c r="U29" s="320"/>
      <c r="V29" s="320"/>
      <c r="W29" s="320"/>
      <c r="X29" s="320"/>
      <c r="Y29" s="199">
        <f>X27</f>
        <v>0</v>
      </c>
      <c r="Z29" s="200" t="s">
        <v>1</v>
      </c>
      <c r="AA29" s="199">
        <f>IF(U27="5-ти элем",(R27-160+19),IF(U27="витрина",(R27-160+19),0))</f>
        <v>0</v>
      </c>
      <c r="AB29" s="199">
        <f>IF(U27="5-ти элем",(S27-160+19),IF(U27="витрина",(S27-160+19),0))</f>
        <v>0</v>
      </c>
      <c r="AC29" s="199">
        <f t="shared" ref="AC29" si="121">IF(U27="Гладкий",0,IF(U27="3-х элем",0,T27))</f>
        <v>0</v>
      </c>
      <c r="AD29" s="199">
        <f>IF(E22="Витрина","Стекло",H22)</f>
        <v>0</v>
      </c>
      <c r="AE29" s="326"/>
      <c r="AF29" s="199"/>
      <c r="AG29" s="201">
        <f t="shared" ref="AG29" si="122">IF(Y29=8,(AA29+AB29)*2*AC29/1000,0)</f>
        <v>0</v>
      </c>
      <c r="AH29" s="201">
        <v>0</v>
      </c>
      <c r="AI29" s="199"/>
      <c r="AJ29" s="206"/>
      <c r="AK29" s="203">
        <v>0</v>
      </c>
      <c r="AL29" s="199">
        <v>0</v>
      </c>
      <c r="AM29" s="199">
        <v>0</v>
      </c>
      <c r="AN29" s="202">
        <v>0</v>
      </c>
      <c r="AO29" s="204"/>
      <c r="AP29" s="172">
        <f>IF(AD29="Стекло",0,(AA29*AB29*AC29/1000000))</f>
        <v>0</v>
      </c>
      <c r="AQ29" s="168">
        <f t="shared" si="0"/>
        <v>0</v>
      </c>
      <c r="AR29" s="172"/>
      <c r="AS29" s="207" t="s">
        <v>187</v>
      </c>
      <c r="AT29" s="184"/>
      <c r="AU29" s="184"/>
      <c r="AV29" s="184"/>
      <c r="AW29" s="184"/>
      <c r="AX29" s="184"/>
      <c r="AY29" s="138"/>
    </row>
    <row r="30" spans="1:51" ht="15.75" thickBot="1" x14ac:dyDescent="0.3">
      <c r="A30" s="161">
        <v>17</v>
      </c>
      <c r="B30" s="162">
        <f>'Фасады Клеаф'!D26</f>
        <v>0</v>
      </c>
      <c r="C30" s="162">
        <f>'Фасады Клеаф'!E26</f>
        <v>0</v>
      </c>
      <c r="D30" s="162">
        <f>'Фасады Клеаф'!F26</f>
        <v>0</v>
      </c>
      <c r="E30" s="162">
        <f>'Фасады Клеаф'!C26</f>
        <v>0</v>
      </c>
      <c r="F30" s="162">
        <v>18</v>
      </c>
      <c r="G30" s="158">
        <f t="shared" si="47"/>
        <v>0</v>
      </c>
      <c r="H30" s="163">
        <f>'Фасады Клеаф'!G26</f>
        <v>0</v>
      </c>
      <c r="I30" s="148"/>
      <c r="J30" s="184"/>
      <c r="K30" s="184"/>
      <c r="L30" s="184"/>
      <c r="M30" s="148"/>
      <c r="N30" s="148"/>
      <c r="O30" s="148"/>
      <c r="P30" s="184"/>
      <c r="Q30" s="321">
        <v>10</v>
      </c>
      <c r="R30" s="318">
        <f>Бланк!B23</f>
        <v>0</v>
      </c>
      <c r="S30" s="318">
        <f>Бланк!C23</f>
        <v>0</v>
      </c>
      <c r="T30" s="318">
        <f>Бланк!D23</f>
        <v>0</v>
      </c>
      <c r="U30" s="318">
        <f>Бланк!E23</f>
        <v>0</v>
      </c>
      <c r="V30" s="318">
        <f>IF(E23="Гладкий",0,(1*D23))</f>
        <v>0</v>
      </c>
      <c r="W30" s="318">
        <f>Бланк!F23</f>
        <v>18</v>
      </c>
      <c r="X30" s="318">
        <f>Бланк!G23</f>
        <v>0</v>
      </c>
      <c r="Y30" s="185">
        <f>W30</f>
        <v>18</v>
      </c>
      <c r="Z30" s="186" t="s">
        <v>14</v>
      </c>
      <c r="AA30" s="185">
        <f>R30</f>
        <v>0</v>
      </c>
      <c r="AB30" s="185">
        <f>IF(U30="Гладкий",S30,164)</f>
        <v>164</v>
      </c>
      <c r="AC30" s="185">
        <f t="shared" ref="AC30" si="123">IF(AA30&gt;0,T30,0)</f>
        <v>0</v>
      </c>
      <c r="AD30" s="185">
        <f>H23</f>
        <v>0</v>
      </c>
      <c r="AE30" s="324">
        <f>IF(U30="Гладкий",0,((R30+S30)*2*T30/1000))</f>
        <v>0</v>
      </c>
      <c r="AF30" s="187">
        <f>IF(U30="Гладкий",((AA30+AB30)*2*AC30/1000),(AA30*2*AC30/1000))</f>
        <v>0</v>
      </c>
      <c r="AG30" s="187">
        <f t="shared" ref="AG30" si="124">IF(U30="5-ти элем",((AA30+AB30)*2+AA30)*AC30/1000,IF(U30="Витрина",((AA30+AB30)*2+AA30)*AC30/1000,IF(U30="3-х элем",((AA30+AB30)*2+AA30)*AC30/1000,IF(U30="Гладкий",(AA30+AB30)*2*AC30/1000,0))))</f>
        <v>0</v>
      </c>
      <c r="AH30" s="185">
        <f>IF(U30="5-ти элем",(AA30*2*2*AC30/1000),IF(U30="витрина",(AA30*2*AC30/1000),0))</f>
        <v>0</v>
      </c>
      <c r="AI30" s="185">
        <f>IF(U30="5-ти элем",(16*T30),IF(U30="3-х элем",(12*T30),IF(U30="витрина",(16*T30),0)))</f>
        <v>0</v>
      </c>
      <c r="AJ30" s="188">
        <f>AF30+AE30</f>
        <v>0</v>
      </c>
      <c r="AK30" s="189">
        <f t="shared" ref="AK30" si="125">AD30</f>
        <v>0</v>
      </c>
      <c r="AL30" s="185">
        <f t="shared" ref="AL30" si="126">AK30</f>
        <v>0</v>
      </c>
      <c r="AM30" s="185">
        <f t="shared" ref="AM30" si="127">IF(U30="Гладкий",AK30, 0)</f>
        <v>0</v>
      </c>
      <c r="AN30" s="190">
        <f t="shared" ref="AN30" si="128">IF(U30="Гладкий",AK30, 0)</f>
        <v>0</v>
      </c>
      <c r="AO30" s="191">
        <f>IF(U30="5-ти элем","Paz 8 mm",IF(U30="витрина","Paz 4 mm",0))</f>
        <v>0</v>
      </c>
      <c r="AP30" s="172">
        <f t="shared" si="7"/>
        <v>0</v>
      </c>
      <c r="AQ30" s="168">
        <f t="shared" si="0"/>
        <v>0</v>
      </c>
      <c r="AR30" s="172">
        <f>AF30+AF31+AE30</f>
        <v>0</v>
      </c>
      <c r="AS30" s="207" t="s">
        <v>188</v>
      </c>
      <c r="AT30" s="184"/>
      <c r="AU30" s="184"/>
      <c r="AV30" s="184"/>
      <c r="AW30" s="184"/>
      <c r="AX30" s="184"/>
      <c r="AY30" s="138"/>
    </row>
    <row r="31" spans="1:51" ht="15.75" thickBot="1" x14ac:dyDescent="0.3">
      <c r="A31" s="161">
        <v>18</v>
      </c>
      <c r="B31" s="162">
        <f>'Фасады Клеаф'!D27</f>
        <v>0</v>
      </c>
      <c r="C31" s="162">
        <f>'Фасады Клеаф'!E27</f>
        <v>0</v>
      </c>
      <c r="D31" s="162">
        <f>'Фасады Клеаф'!F27</f>
        <v>0</v>
      </c>
      <c r="E31" s="162">
        <f>'Фасады Клеаф'!C27</f>
        <v>0</v>
      </c>
      <c r="F31" s="162">
        <v>18</v>
      </c>
      <c r="G31" s="158">
        <f t="shared" si="47"/>
        <v>0</v>
      </c>
      <c r="H31" s="163">
        <f>'Фасады Клеаф'!G27</f>
        <v>0</v>
      </c>
      <c r="I31" s="148"/>
      <c r="J31" s="148"/>
      <c r="K31" s="148"/>
      <c r="L31" s="148"/>
      <c r="M31" s="164"/>
      <c r="N31" s="164"/>
      <c r="O31" s="164"/>
      <c r="P31" s="184"/>
      <c r="Q31" s="322"/>
      <c r="R31" s="319"/>
      <c r="S31" s="319"/>
      <c r="T31" s="319"/>
      <c r="U31" s="319"/>
      <c r="V31" s="319"/>
      <c r="W31" s="319"/>
      <c r="X31" s="319"/>
      <c r="Y31" s="181">
        <f>W30</f>
        <v>18</v>
      </c>
      <c r="Z31" s="192" t="s">
        <v>15</v>
      </c>
      <c r="AA31" s="181">
        <f>IF(U30="5-ти элем",(S30-160),IF(U30="витрина",(S30-160),IF(U30="3-х элем",(S30-160),0)))</f>
        <v>0</v>
      </c>
      <c r="AB31" s="181">
        <f>IF(U30="5-ти элем",164,IF(U30="витрина",164,IF(U30="3-х элем",R30,0)))</f>
        <v>0</v>
      </c>
      <c r="AC31" s="185">
        <f t="shared" ref="AC31" si="129">IF(AA31&gt;0,T30,0)</f>
        <v>0</v>
      </c>
      <c r="AD31" s="181">
        <f>H23</f>
        <v>0</v>
      </c>
      <c r="AE31" s="325"/>
      <c r="AF31" s="193">
        <f t="shared" ref="AF31" si="130">IF(U30="3-х элем",(AB31*2*AC31/1000),IF(U30="5-ти элем",((AA31+AB31)*2*AC31/1000),IF(U30="витрина",((AA31+AB31)*2*AC31/1000),0)))</f>
        <v>0</v>
      </c>
      <c r="AG31" s="187">
        <f t="shared" ref="AG31" si="131">IF(U30="5-ти элем",((AA31+AB31)*2+AA31)*AC31/1000,IF(U30="Витрина",((AA31+AB31)*2+AA31)*AC31/1000,IF(U30="3-х элем",(AA31+AB31)*2*AC31/1000,0)))</f>
        <v>0</v>
      </c>
      <c r="AH31" s="193">
        <f>IF(U30="5-ти элем",(AA31*2*2*AC31/1000),IF(U30="витрина",(AA31*2*AC31/1000),0))</f>
        <v>0</v>
      </c>
      <c r="AI31" s="181"/>
      <c r="AJ31" s="194">
        <f>AF31</f>
        <v>0</v>
      </c>
      <c r="AK31" s="195">
        <f t="shared" ref="AK31" si="132">IF(U30="5-ти элем",AK30,IF(U30="витрина",AK30,0))</f>
        <v>0</v>
      </c>
      <c r="AL31" s="181">
        <f t="shared" ref="AL31" si="133">IF(U30="5-ти элем",AK30,IF(U30="витрина",AK30,0))</f>
        <v>0</v>
      </c>
      <c r="AM31" s="181">
        <f t="shared" ref="AM31" si="134">IF(U30="Гладкий", 0,AK30)</f>
        <v>0</v>
      </c>
      <c r="AN31" s="196">
        <f t="shared" ref="AN31" si="135">IF(U30="Гладкий", 0,AK30)</f>
        <v>0</v>
      </c>
      <c r="AO31" s="197">
        <f>IF(U30="5-ти элем","Paz 8 mm",IF(U30="витрина","Paz 4 mm",0))</f>
        <v>0</v>
      </c>
      <c r="AP31" s="172">
        <f t="shared" si="7"/>
        <v>0</v>
      </c>
      <c r="AQ31" s="168">
        <f t="shared" si="0"/>
        <v>0</v>
      </c>
      <c r="AR31" s="172"/>
      <c r="AS31" s="207" t="s">
        <v>189</v>
      </c>
      <c r="AT31" s="184"/>
      <c r="AU31" s="184"/>
      <c r="AV31" s="184"/>
      <c r="AW31" s="184"/>
      <c r="AX31" s="184"/>
      <c r="AY31" s="138"/>
    </row>
    <row r="32" spans="1:51" ht="15.75" thickBot="1" x14ac:dyDescent="0.3">
      <c r="A32" s="161">
        <v>19</v>
      </c>
      <c r="B32" s="162">
        <f>'Фасады Клеаф'!D28</f>
        <v>0</v>
      </c>
      <c r="C32" s="162">
        <f>'Фасады Клеаф'!E28</f>
        <v>0</v>
      </c>
      <c r="D32" s="162">
        <f>'Фасады Клеаф'!F28</f>
        <v>0</v>
      </c>
      <c r="E32" s="162">
        <f>'Фасады Клеаф'!C28</f>
        <v>0</v>
      </c>
      <c r="F32" s="162">
        <v>18</v>
      </c>
      <c r="G32" s="158">
        <f t="shared" si="47"/>
        <v>0</v>
      </c>
      <c r="H32" s="163">
        <f>'Фасады Клеаф'!G28</f>
        <v>0</v>
      </c>
      <c r="I32" s="144"/>
      <c r="J32" s="164"/>
      <c r="K32" s="164"/>
      <c r="L32" s="164"/>
      <c r="M32" s="164"/>
      <c r="N32" s="164"/>
      <c r="O32" s="164"/>
      <c r="P32" s="184"/>
      <c r="Q32" s="323"/>
      <c r="R32" s="320"/>
      <c r="S32" s="320"/>
      <c r="T32" s="320"/>
      <c r="U32" s="320"/>
      <c r="V32" s="320"/>
      <c r="W32" s="320"/>
      <c r="X32" s="320"/>
      <c r="Y32" s="199">
        <f>X30</f>
        <v>0</v>
      </c>
      <c r="Z32" s="200" t="s">
        <v>1</v>
      </c>
      <c r="AA32" s="199">
        <f>IF(U30="5-ти элем",(R30-160+19),IF(U30="витрина",(R30-160+19),0))</f>
        <v>0</v>
      </c>
      <c r="AB32" s="199">
        <f>IF(U30="5-ти элем",(S30-160+19),IF(U30="витрина",(S30-160+19),0))</f>
        <v>0</v>
      </c>
      <c r="AC32" s="199">
        <f t="shared" ref="AC32" si="136">IF(U30="Гладкий",0,IF(U30="3-х элем",0,T30))</f>
        <v>0</v>
      </c>
      <c r="AD32" s="199">
        <f>IF(E23="Витрина","Стекло",H23)</f>
        <v>0</v>
      </c>
      <c r="AE32" s="326"/>
      <c r="AF32" s="199"/>
      <c r="AG32" s="201">
        <f t="shared" ref="AG32" si="137">IF(Y32=8,(AA32+AB32)*2*AC32/1000,0)</f>
        <v>0</v>
      </c>
      <c r="AH32" s="201">
        <v>0</v>
      </c>
      <c r="AI32" s="199"/>
      <c r="AJ32" s="206"/>
      <c r="AK32" s="203">
        <v>0</v>
      </c>
      <c r="AL32" s="199">
        <v>0</v>
      </c>
      <c r="AM32" s="199">
        <v>0</v>
      </c>
      <c r="AN32" s="202">
        <v>0</v>
      </c>
      <c r="AO32" s="204"/>
      <c r="AP32" s="172">
        <f>IF(AD32="Стекло",0,(AA32*AB32*AC32/1000000))</f>
        <v>0</v>
      </c>
      <c r="AQ32" s="168">
        <f t="shared" si="0"/>
        <v>0</v>
      </c>
      <c r="AR32" s="172"/>
      <c r="AS32" s="207" t="s">
        <v>190</v>
      </c>
      <c r="AT32" s="184"/>
      <c r="AU32" s="184"/>
      <c r="AV32" s="184"/>
      <c r="AW32" s="184"/>
      <c r="AX32" s="184"/>
      <c r="AY32" s="138"/>
    </row>
    <row r="33" spans="1:51" ht="15.75" thickBot="1" x14ac:dyDescent="0.3">
      <c r="A33" s="161">
        <v>20</v>
      </c>
      <c r="B33" s="162">
        <f>'Фасады Клеаф'!D29</f>
        <v>0</v>
      </c>
      <c r="C33" s="162">
        <f>'Фасады Клеаф'!E29</f>
        <v>0</v>
      </c>
      <c r="D33" s="162">
        <f>'Фасады Клеаф'!F29</f>
        <v>0</v>
      </c>
      <c r="E33" s="162">
        <f>'Фасады Клеаф'!C29</f>
        <v>0</v>
      </c>
      <c r="F33" s="162">
        <v>18</v>
      </c>
      <c r="G33" s="158">
        <f t="shared" si="47"/>
        <v>0</v>
      </c>
      <c r="H33" s="163">
        <f>'Фасады Клеаф'!G29</f>
        <v>0</v>
      </c>
      <c r="I33" s="144"/>
      <c r="J33" s="164"/>
      <c r="K33" s="164"/>
      <c r="L33" s="164"/>
      <c r="M33" s="164"/>
      <c r="N33" s="164"/>
      <c r="O33" s="164"/>
      <c r="P33" s="184"/>
      <c r="Q33" s="321">
        <v>11</v>
      </c>
      <c r="R33" s="318">
        <f>Бланк!B24</f>
        <v>0</v>
      </c>
      <c r="S33" s="318">
        <f>Бланк!C24</f>
        <v>0</v>
      </c>
      <c r="T33" s="318">
        <f>Бланк!D24</f>
        <v>0</v>
      </c>
      <c r="U33" s="318">
        <f>Бланк!E24</f>
        <v>0</v>
      </c>
      <c r="V33" s="318">
        <f>IF(E24="Гладкий",0,(1*D24))</f>
        <v>0</v>
      </c>
      <c r="W33" s="318">
        <f>Бланк!F24</f>
        <v>18</v>
      </c>
      <c r="X33" s="318">
        <f>Бланк!G24</f>
        <v>0</v>
      </c>
      <c r="Y33" s="185">
        <f>W33</f>
        <v>18</v>
      </c>
      <c r="Z33" s="186" t="s">
        <v>14</v>
      </c>
      <c r="AA33" s="185">
        <f>R33</f>
        <v>0</v>
      </c>
      <c r="AB33" s="185">
        <f>IF(U33="Гладкий",S33,164)</f>
        <v>164</v>
      </c>
      <c r="AC33" s="185">
        <f t="shared" ref="AC33" si="138">IF(AA33&gt;0,T33,0)</f>
        <v>0</v>
      </c>
      <c r="AD33" s="185">
        <f>H24</f>
        <v>0</v>
      </c>
      <c r="AE33" s="324">
        <f>IF(U33="Гладкий",0,((R33+S33)*2*T33/1000))</f>
        <v>0</v>
      </c>
      <c r="AF33" s="187">
        <f>IF(U33="Гладкий",((AA33+AB33)*2*AC33/1000),(AA33*2*AC33/1000))</f>
        <v>0</v>
      </c>
      <c r="AG33" s="187">
        <f t="shared" ref="AG33" si="139">IF(U33="5-ти элем",((AA33+AB33)*2+AA33)*AC33/1000,IF(U33="Витрина",((AA33+AB33)*2+AA33)*AC33/1000,IF(U33="3-х элем",((AA33+AB33)*2+AA33)*AC33/1000,IF(U33="Гладкий",(AA33+AB33)*2*AC33/1000,0))))</f>
        <v>0</v>
      </c>
      <c r="AH33" s="185">
        <f>IF(U33="5-ти элем",(AA33*2*2*AC33/1000),IF(U33="витрина",(AA33*2*AC33/1000),0))</f>
        <v>0</v>
      </c>
      <c r="AI33" s="185">
        <f>IF(U33="5-ти элем",(16*T33),IF(U33="3-х элем",(12*T33),IF(U33="витрина",(16*T33),0)))</f>
        <v>0</v>
      </c>
      <c r="AJ33" s="188">
        <f>AF33+AE33</f>
        <v>0</v>
      </c>
      <c r="AK33" s="189">
        <f t="shared" ref="AK33" si="140">AD33</f>
        <v>0</v>
      </c>
      <c r="AL33" s="185">
        <f t="shared" ref="AL33" si="141">AK33</f>
        <v>0</v>
      </c>
      <c r="AM33" s="185">
        <f t="shared" ref="AM33" si="142">IF(U33="Гладкий",AK33, 0)</f>
        <v>0</v>
      </c>
      <c r="AN33" s="190">
        <f t="shared" ref="AN33" si="143">IF(U33="Гладкий",AK33, 0)</f>
        <v>0</v>
      </c>
      <c r="AO33" s="191">
        <f>IF(U33="5-ти элем","Paz 8 mm",IF(U33="витрина","Paz 4 mm",0))</f>
        <v>0</v>
      </c>
      <c r="AP33" s="172">
        <f t="shared" si="7"/>
        <v>0</v>
      </c>
      <c r="AQ33" s="168">
        <f t="shared" si="0"/>
        <v>0</v>
      </c>
      <c r="AR33" s="172">
        <f>AF33+AF34+AE33</f>
        <v>0</v>
      </c>
      <c r="AS33" s="207" t="s">
        <v>191</v>
      </c>
      <c r="AT33" s="184"/>
      <c r="AU33" s="184"/>
      <c r="AV33" s="184"/>
      <c r="AW33" s="184"/>
      <c r="AX33" s="184"/>
      <c r="AY33" s="138"/>
    </row>
    <row r="34" spans="1:51" ht="15.75" thickBot="1" x14ac:dyDescent="0.3">
      <c r="A34" s="161">
        <v>21</v>
      </c>
      <c r="B34" s="162">
        <f>'Фасады Клеаф'!D30</f>
        <v>0</v>
      </c>
      <c r="C34" s="162">
        <f>'Фасады Клеаф'!E30</f>
        <v>0</v>
      </c>
      <c r="D34" s="162">
        <f>'Фасады Клеаф'!F30</f>
        <v>0</v>
      </c>
      <c r="E34" s="162">
        <f>'Фасады Клеаф'!C30</f>
        <v>0</v>
      </c>
      <c r="F34" s="162">
        <v>18</v>
      </c>
      <c r="G34" s="158">
        <f t="shared" si="47"/>
        <v>0</v>
      </c>
      <c r="H34" s="163">
        <f>'Фасады Клеаф'!G30</f>
        <v>0</v>
      </c>
      <c r="I34" s="144"/>
      <c r="J34" s="164"/>
      <c r="K34" s="164"/>
      <c r="L34" s="164"/>
      <c r="M34" s="184"/>
      <c r="N34" s="184"/>
      <c r="O34" s="184"/>
      <c r="P34" s="184"/>
      <c r="Q34" s="322"/>
      <c r="R34" s="319"/>
      <c r="S34" s="319"/>
      <c r="T34" s="319"/>
      <c r="U34" s="319"/>
      <c r="V34" s="319"/>
      <c r="W34" s="319"/>
      <c r="X34" s="319"/>
      <c r="Y34" s="181">
        <f>W33</f>
        <v>18</v>
      </c>
      <c r="Z34" s="192" t="s">
        <v>15</v>
      </c>
      <c r="AA34" s="181">
        <f>IF(U33="5-ти элем",(S33-160),IF(U33="витрина",(S33-160),IF(U33="3-х элем",(S33-160),0)))</f>
        <v>0</v>
      </c>
      <c r="AB34" s="181">
        <f>IF(U33="5-ти элем",164,IF(U33="витрина",164,IF(U33="3-х элем",R33,0)))</f>
        <v>0</v>
      </c>
      <c r="AC34" s="185">
        <f t="shared" ref="AC34" si="144">IF(AA34&gt;0,T33,0)</f>
        <v>0</v>
      </c>
      <c r="AD34" s="181">
        <f>H24</f>
        <v>0</v>
      </c>
      <c r="AE34" s="325"/>
      <c r="AF34" s="193">
        <f t="shared" ref="AF34" si="145">IF(U33="3-х элем",(AB34*2*AC34/1000),IF(U33="5-ти элем",((AA34+AB34)*2*AC34/1000),IF(U33="витрина",((AA34+AB34)*2*AC34/1000),0)))</f>
        <v>0</v>
      </c>
      <c r="AG34" s="187">
        <f t="shared" ref="AG34" si="146">IF(U33="5-ти элем",((AA34+AB34)*2+AA34)*AC34/1000,IF(U33="Витрина",((AA34+AB34)*2+AA34)*AC34/1000,IF(U33="3-х элем",(AA34+AB34)*2*AC34/1000,0)))</f>
        <v>0</v>
      </c>
      <c r="AH34" s="193">
        <f>IF(U33="5-ти элем",(AA34*2*2*AC34/1000),IF(U33="витрина",(AA34*2*AC34/1000),0))</f>
        <v>0</v>
      </c>
      <c r="AI34" s="181"/>
      <c r="AJ34" s="194">
        <f>AF34</f>
        <v>0</v>
      </c>
      <c r="AK34" s="195">
        <f t="shared" ref="AK34" si="147">IF(U33="5-ти элем",AK33,IF(U33="витрина",AK33,0))</f>
        <v>0</v>
      </c>
      <c r="AL34" s="181">
        <f t="shared" ref="AL34" si="148">IF(U33="5-ти элем",AK33,IF(U33="витрина",AK33,0))</f>
        <v>0</v>
      </c>
      <c r="AM34" s="181">
        <f t="shared" ref="AM34" si="149">IF(U33="Гладкий", 0,AK33)</f>
        <v>0</v>
      </c>
      <c r="AN34" s="196">
        <f t="shared" ref="AN34" si="150">IF(U33="Гладкий", 0,AK33)</f>
        <v>0</v>
      </c>
      <c r="AO34" s="197">
        <f>IF(U33="5-ти элем","Paz 8 mm",IF(U33="витрина","Paz 4 mm",0))</f>
        <v>0</v>
      </c>
      <c r="AP34" s="172">
        <f t="shared" si="7"/>
        <v>0</v>
      </c>
      <c r="AQ34" s="168">
        <f t="shared" si="0"/>
        <v>0</v>
      </c>
      <c r="AR34" s="172"/>
      <c r="AS34" s="207" t="s">
        <v>192</v>
      </c>
      <c r="AT34" s="184"/>
      <c r="AU34" s="184"/>
      <c r="AV34" s="184"/>
      <c r="AW34" s="184"/>
      <c r="AX34" s="184"/>
      <c r="AY34" s="138"/>
    </row>
    <row r="35" spans="1:51" ht="15.75" thickBot="1" x14ac:dyDescent="0.3">
      <c r="A35" s="161">
        <v>22</v>
      </c>
      <c r="B35" s="162">
        <f>'Фасады Клеаф'!D31</f>
        <v>0</v>
      </c>
      <c r="C35" s="162">
        <f>'Фасады Клеаф'!E31</f>
        <v>0</v>
      </c>
      <c r="D35" s="162">
        <f>'Фасады Клеаф'!F31</f>
        <v>0</v>
      </c>
      <c r="E35" s="162">
        <f>'Фасады Клеаф'!C31</f>
        <v>0</v>
      </c>
      <c r="F35" s="162">
        <v>18</v>
      </c>
      <c r="G35" s="158">
        <f t="shared" si="47"/>
        <v>0</v>
      </c>
      <c r="H35" s="163">
        <f>'Фасады Клеаф'!G31</f>
        <v>0</v>
      </c>
      <c r="I35" s="184"/>
      <c r="J35" s="184"/>
      <c r="K35" s="184"/>
      <c r="L35" s="184"/>
      <c r="M35" s="184"/>
      <c r="N35" s="184"/>
      <c r="O35" s="184"/>
      <c r="P35" s="184"/>
      <c r="Q35" s="323"/>
      <c r="R35" s="320"/>
      <c r="S35" s="320"/>
      <c r="T35" s="320"/>
      <c r="U35" s="320"/>
      <c r="V35" s="320"/>
      <c r="W35" s="320"/>
      <c r="X35" s="320"/>
      <c r="Y35" s="199">
        <f>X33</f>
        <v>0</v>
      </c>
      <c r="Z35" s="200" t="s">
        <v>1</v>
      </c>
      <c r="AA35" s="199">
        <f>IF(U33="5-ти элем",(R33-160+19),IF(U33="витрина",(R33-160+19),0))</f>
        <v>0</v>
      </c>
      <c r="AB35" s="199">
        <f>IF(U33="5-ти элем",(S33-160+19),IF(U33="витрина",(S33-160+19),0))</f>
        <v>0</v>
      </c>
      <c r="AC35" s="199">
        <f t="shared" ref="AC35" si="151">IF(U33="Гладкий",0,IF(U33="3-х элем",0,T33))</f>
        <v>0</v>
      </c>
      <c r="AD35" s="199">
        <f>IF(E24="Витрина","Стекло",H24)</f>
        <v>0</v>
      </c>
      <c r="AE35" s="326"/>
      <c r="AF35" s="199"/>
      <c r="AG35" s="201">
        <f t="shared" ref="AG35" si="152">IF(Y35=8,(AA35+AB35)*2*AC35/1000,0)</f>
        <v>0</v>
      </c>
      <c r="AH35" s="201">
        <v>0</v>
      </c>
      <c r="AI35" s="199"/>
      <c r="AJ35" s="206"/>
      <c r="AK35" s="203">
        <v>0</v>
      </c>
      <c r="AL35" s="199">
        <v>0</v>
      </c>
      <c r="AM35" s="199">
        <v>0</v>
      </c>
      <c r="AN35" s="202">
        <v>0</v>
      </c>
      <c r="AO35" s="204"/>
      <c r="AP35" s="172">
        <f>IF(AD35="Стекло",0,(AA35*AB35*AC35/1000000))</f>
        <v>0</v>
      </c>
      <c r="AQ35" s="168">
        <f t="shared" si="0"/>
        <v>0</v>
      </c>
      <c r="AR35" s="172"/>
      <c r="AS35" s="207" t="s">
        <v>193</v>
      </c>
      <c r="AT35" s="184"/>
      <c r="AU35" s="184"/>
      <c r="AV35" s="184"/>
      <c r="AW35" s="184"/>
      <c r="AX35" s="184"/>
      <c r="AY35" s="138"/>
    </row>
    <row r="36" spans="1:51" ht="15.75" thickBot="1" x14ac:dyDescent="0.3">
      <c r="A36" s="161">
        <v>23</v>
      </c>
      <c r="B36" s="162">
        <f>'Фасады Клеаф'!D32</f>
        <v>0</v>
      </c>
      <c r="C36" s="162">
        <f>'Фасады Клеаф'!E32</f>
        <v>0</v>
      </c>
      <c r="D36" s="162">
        <f>'Фасады Клеаф'!F32</f>
        <v>0</v>
      </c>
      <c r="E36" s="162">
        <f>'Фасады Клеаф'!C32</f>
        <v>0</v>
      </c>
      <c r="F36" s="162">
        <v>18</v>
      </c>
      <c r="G36" s="158">
        <f t="shared" si="47"/>
        <v>0</v>
      </c>
      <c r="H36" s="163">
        <f>'Фасады Клеаф'!G32</f>
        <v>0</v>
      </c>
      <c r="I36" s="184"/>
      <c r="J36" s="184"/>
      <c r="K36" s="184"/>
      <c r="L36" s="184"/>
      <c r="M36" s="184"/>
      <c r="N36" s="184"/>
      <c r="O36" s="184"/>
      <c r="P36" s="184"/>
      <c r="Q36" s="321">
        <v>12</v>
      </c>
      <c r="R36" s="318">
        <f>Бланк!B25</f>
        <v>0</v>
      </c>
      <c r="S36" s="318">
        <f>Бланк!C25</f>
        <v>0</v>
      </c>
      <c r="T36" s="318">
        <f>Бланк!D25</f>
        <v>0</v>
      </c>
      <c r="U36" s="318">
        <f>Бланк!E25</f>
        <v>0</v>
      </c>
      <c r="V36" s="318">
        <f>IF(E25="Гладкий",0,(1*D25))</f>
        <v>0</v>
      </c>
      <c r="W36" s="318">
        <f>Бланк!F25</f>
        <v>18</v>
      </c>
      <c r="X36" s="318">
        <f>Бланк!G25</f>
        <v>0</v>
      </c>
      <c r="Y36" s="185">
        <f>W36</f>
        <v>18</v>
      </c>
      <c r="Z36" s="186" t="s">
        <v>14</v>
      </c>
      <c r="AA36" s="185">
        <f>R36</f>
        <v>0</v>
      </c>
      <c r="AB36" s="185">
        <f>IF(U36="Гладкий",S36,164)</f>
        <v>164</v>
      </c>
      <c r="AC36" s="185">
        <f t="shared" ref="AC36" si="153">IF(AA36&gt;0,T36,0)</f>
        <v>0</v>
      </c>
      <c r="AD36" s="185">
        <f>H25</f>
        <v>0</v>
      </c>
      <c r="AE36" s="324">
        <f>IF(U36="Гладкий",0,((R36+S36)*2*T36/1000))</f>
        <v>0</v>
      </c>
      <c r="AF36" s="187">
        <f>IF(U36="Гладкий",((AA36+AB36)*2*AC36/1000),(AA36*2*AC36/1000))</f>
        <v>0</v>
      </c>
      <c r="AG36" s="187">
        <f t="shared" ref="AG36" si="154">IF(U36="5-ти элем",((AA36+AB36)*2+AA36)*AC36/1000,IF(U36="Витрина",((AA36+AB36)*2+AA36)*AC36/1000,IF(U36="3-х элем",((AA36+AB36)*2+AA36)*AC36/1000,IF(U36="Гладкий",(AA36+AB36)*2*AC36/1000,0))))</f>
        <v>0</v>
      </c>
      <c r="AH36" s="185">
        <f>IF(U36="5-ти элем",(AA36*2*2*AC36/1000),IF(U36="витрина",(AA36*2*AC36/1000),0))</f>
        <v>0</v>
      </c>
      <c r="AI36" s="185">
        <f>IF(U36="5-ти элем",(16*T36),IF(U36="3-х элем",(12*T36),IF(U36="витрина",(16*T36),0)))</f>
        <v>0</v>
      </c>
      <c r="AJ36" s="188">
        <f>AF36+AE36</f>
        <v>0</v>
      </c>
      <c r="AK36" s="189">
        <f t="shared" ref="AK36" si="155">AD36</f>
        <v>0</v>
      </c>
      <c r="AL36" s="185">
        <f t="shared" ref="AL36" si="156">AK36</f>
        <v>0</v>
      </c>
      <c r="AM36" s="185">
        <f t="shared" ref="AM36" si="157">IF(U36="Гладкий",AK36, 0)</f>
        <v>0</v>
      </c>
      <c r="AN36" s="190">
        <f t="shared" ref="AN36" si="158">IF(U36="Гладкий",AK36, 0)</f>
        <v>0</v>
      </c>
      <c r="AO36" s="191">
        <f>IF(U36="5-ти элем","Paz 8 mm",IF(U36="витрина","Paz 4 mm",0))</f>
        <v>0</v>
      </c>
      <c r="AP36" s="172">
        <f t="shared" si="7"/>
        <v>0</v>
      </c>
      <c r="AQ36" s="168">
        <f t="shared" si="0"/>
        <v>0</v>
      </c>
      <c r="AR36" s="172">
        <f>AF36+AF37+AE36</f>
        <v>0</v>
      </c>
      <c r="AS36" s="207" t="s">
        <v>194</v>
      </c>
      <c r="AT36" s="184"/>
      <c r="AU36" s="184"/>
      <c r="AV36" s="184"/>
      <c r="AW36" s="184"/>
      <c r="AX36" s="184"/>
      <c r="AY36" s="138"/>
    </row>
    <row r="37" spans="1:51" ht="15.75" thickBot="1" x14ac:dyDescent="0.3">
      <c r="A37" s="161">
        <v>24</v>
      </c>
      <c r="B37" s="162">
        <f>'Фасады Клеаф'!D33</f>
        <v>0</v>
      </c>
      <c r="C37" s="162">
        <f>'Фасады Клеаф'!E33</f>
        <v>0</v>
      </c>
      <c r="D37" s="162">
        <f>'Фасады Клеаф'!F33</f>
        <v>0</v>
      </c>
      <c r="E37" s="162">
        <f>'Фасады Клеаф'!C33</f>
        <v>0</v>
      </c>
      <c r="F37" s="162">
        <v>18</v>
      </c>
      <c r="G37" s="158">
        <f t="shared" si="47"/>
        <v>0</v>
      </c>
      <c r="H37" s="163">
        <f>'Фасады Клеаф'!G33</f>
        <v>0</v>
      </c>
      <c r="I37" s="184"/>
      <c r="J37" s="184"/>
      <c r="K37" s="184"/>
      <c r="L37" s="184"/>
      <c r="M37" s="184"/>
      <c r="N37" s="184"/>
      <c r="O37" s="184"/>
      <c r="P37" s="184"/>
      <c r="Q37" s="322"/>
      <c r="R37" s="319"/>
      <c r="S37" s="319"/>
      <c r="T37" s="319"/>
      <c r="U37" s="319"/>
      <c r="V37" s="319"/>
      <c r="W37" s="319"/>
      <c r="X37" s="319"/>
      <c r="Y37" s="181">
        <f>W36</f>
        <v>18</v>
      </c>
      <c r="Z37" s="192" t="s">
        <v>15</v>
      </c>
      <c r="AA37" s="181">
        <f>IF(U36="5-ти элем",(S36-160),IF(U36="витрина",(S36-160),IF(U36="3-х элем",(S36-160),0)))</f>
        <v>0</v>
      </c>
      <c r="AB37" s="181">
        <f>IF(U36="5-ти элем",164,IF(U36="витрина",164,IF(U36="3-х элем",R36,0)))</f>
        <v>0</v>
      </c>
      <c r="AC37" s="185">
        <f t="shared" ref="AC37" si="159">IF(AA37&gt;0,T36,0)</f>
        <v>0</v>
      </c>
      <c r="AD37" s="181">
        <f>H25</f>
        <v>0</v>
      </c>
      <c r="AE37" s="325"/>
      <c r="AF37" s="193">
        <f t="shared" ref="AF37" si="160">IF(U36="3-х элем",(AB37*2*AC37/1000),IF(U36="5-ти элем",((AA37+AB37)*2*AC37/1000),IF(U36="витрина",((AA37+AB37)*2*AC37/1000),0)))</f>
        <v>0</v>
      </c>
      <c r="AG37" s="187">
        <f t="shared" ref="AG37" si="161">IF(U36="5-ти элем",((AA37+AB37)*2+AA37)*AC37/1000,IF(U36="Витрина",((AA37+AB37)*2+AA37)*AC37/1000,IF(U36="3-х элем",(AA37+AB37)*2*AC37/1000,0)))</f>
        <v>0</v>
      </c>
      <c r="AH37" s="193">
        <f>IF(U36="5-ти элем",(AA37*2*2*AC37/1000),IF(U36="витрина",(AA37*2*AC37/1000),0))</f>
        <v>0</v>
      </c>
      <c r="AI37" s="181"/>
      <c r="AJ37" s="194">
        <f>AF37</f>
        <v>0</v>
      </c>
      <c r="AK37" s="195">
        <f t="shared" ref="AK37" si="162">IF(U36="5-ти элем",AK36,IF(U36="витрина",AK36,0))</f>
        <v>0</v>
      </c>
      <c r="AL37" s="181">
        <f t="shared" ref="AL37" si="163">IF(U36="5-ти элем",AK36,IF(U36="витрина",AK36,0))</f>
        <v>0</v>
      </c>
      <c r="AM37" s="181">
        <f t="shared" ref="AM37" si="164">IF(U36="Гладкий", 0,AK36)</f>
        <v>0</v>
      </c>
      <c r="AN37" s="196">
        <f t="shared" ref="AN37" si="165">IF(U36="Гладкий", 0,AK36)</f>
        <v>0</v>
      </c>
      <c r="AO37" s="197">
        <f>IF(U36="5-ти элем","Paz 8 mm",IF(U36="витрина","Paz 4 mm",0))</f>
        <v>0</v>
      </c>
      <c r="AP37" s="172">
        <f t="shared" si="7"/>
        <v>0</v>
      </c>
      <c r="AQ37" s="168">
        <f t="shared" si="0"/>
        <v>0</v>
      </c>
      <c r="AR37" s="172"/>
      <c r="AS37" s="207" t="s">
        <v>195</v>
      </c>
      <c r="AT37" s="184"/>
      <c r="AU37" s="184"/>
      <c r="AV37" s="184"/>
      <c r="AW37" s="184"/>
      <c r="AX37" s="184"/>
      <c r="AY37" s="138"/>
    </row>
    <row r="38" spans="1:51" ht="15.75" thickBot="1" x14ac:dyDescent="0.3">
      <c r="A38" s="161">
        <v>25</v>
      </c>
      <c r="B38" s="162">
        <f>'Фасады Клеаф'!D34</f>
        <v>0</v>
      </c>
      <c r="C38" s="162">
        <f>'Фасады Клеаф'!E34</f>
        <v>0</v>
      </c>
      <c r="D38" s="162">
        <f>'Фасады Клеаф'!F34</f>
        <v>0</v>
      </c>
      <c r="E38" s="162">
        <f>'Фасады Клеаф'!C34</f>
        <v>0</v>
      </c>
      <c r="F38" s="162">
        <v>18</v>
      </c>
      <c r="G38" s="158">
        <f t="shared" si="47"/>
        <v>0</v>
      </c>
      <c r="H38" s="163">
        <f>'Фасады Клеаф'!G34</f>
        <v>0</v>
      </c>
      <c r="I38" s="184"/>
      <c r="J38" s="184"/>
      <c r="K38" s="184"/>
      <c r="L38" s="184"/>
      <c r="M38" s="184"/>
      <c r="N38" s="184"/>
      <c r="O38" s="184"/>
      <c r="P38" s="184"/>
      <c r="Q38" s="323"/>
      <c r="R38" s="320"/>
      <c r="S38" s="320"/>
      <c r="T38" s="320"/>
      <c r="U38" s="320"/>
      <c r="V38" s="320"/>
      <c r="W38" s="320"/>
      <c r="X38" s="320"/>
      <c r="Y38" s="199">
        <f>X36</f>
        <v>0</v>
      </c>
      <c r="Z38" s="200" t="s">
        <v>1</v>
      </c>
      <c r="AA38" s="199">
        <f>IF(U36="5-ти элем",(R36-160+19),IF(U36="витрина",(R36-160+19),0))</f>
        <v>0</v>
      </c>
      <c r="AB38" s="199">
        <f>IF(U36="5-ти элем",(S36-160+19),IF(U36="витрина",(S36-160+19),0))</f>
        <v>0</v>
      </c>
      <c r="AC38" s="199">
        <f t="shared" ref="AC38" si="166">IF(U36="Гладкий",0,IF(U36="3-х элем",0,T36))</f>
        <v>0</v>
      </c>
      <c r="AD38" s="199">
        <f>IF(E25="Витрина","Стекло",H25)</f>
        <v>0</v>
      </c>
      <c r="AE38" s="326"/>
      <c r="AF38" s="199"/>
      <c r="AG38" s="201">
        <f t="shared" ref="AG38" si="167">IF(Y38=8,(AA38+AB38)*2*AC38/1000,0)</f>
        <v>0</v>
      </c>
      <c r="AH38" s="201">
        <v>0</v>
      </c>
      <c r="AI38" s="199"/>
      <c r="AJ38" s="206"/>
      <c r="AK38" s="203">
        <v>0</v>
      </c>
      <c r="AL38" s="199">
        <v>0</v>
      </c>
      <c r="AM38" s="199">
        <v>0</v>
      </c>
      <c r="AN38" s="202">
        <v>0</v>
      </c>
      <c r="AO38" s="204"/>
      <c r="AP38" s="172">
        <f>IF(AD38="Стекло",0,(AA38*AB38*AC38/1000000))</f>
        <v>0</v>
      </c>
      <c r="AQ38" s="168">
        <f t="shared" si="0"/>
        <v>0</v>
      </c>
      <c r="AR38" s="172"/>
      <c r="AS38" s="207" t="s">
        <v>196</v>
      </c>
      <c r="AT38" s="184"/>
      <c r="AU38" s="184"/>
      <c r="AV38" s="184"/>
      <c r="AW38" s="184"/>
      <c r="AX38" s="184"/>
      <c r="AY38" s="138"/>
    </row>
    <row r="39" spans="1:51" ht="15.75" thickBot="1" x14ac:dyDescent="0.3">
      <c r="A39" s="161">
        <v>26</v>
      </c>
      <c r="B39" s="162">
        <f>'Фасады Клеаф'!D35</f>
        <v>0</v>
      </c>
      <c r="C39" s="162">
        <f>'Фасады Клеаф'!E35</f>
        <v>0</v>
      </c>
      <c r="D39" s="162">
        <f>'Фасады Клеаф'!F35</f>
        <v>0</v>
      </c>
      <c r="E39" s="162">
        <f>'Фасады Клеаф'!C35</f>
        <v>0</v>
      </c>
      <c r="F39" s="162">
        <v>18</v>
      </c>
      <c r="G39" s="158">
        <f t="shared" si="47"/>
        <v>0</v>
      </c>
      <c r="H39" s="163">
        <f>'Фасады Клеаф'!G35</f>
        <v>0</v>
      </c>
      <c r="I39" s="184"/>
      <c r="J39" s="184"/>
      <c r="K39" s="184"/>
      <c r="L39" s="184"/>
      <c r="M39" s="184"/>
      <c r="N39" s="184"/>
      <c r="O39" s="184"/>
      <c r="P39" s="184"/>
      <c r="Q39" s="321">
        <v>13</v>
      </c>
      <c r="R39" s="318">
        <f>Бланк!B26</f>
        <v>0</v>
      </c>
      <c r="S39" s="318">
        <f>Бланк!C26</f>
        <v>0</v>
      </c>
      <c r="T39" s="318">
        <f>Бланк!D26</f>
        <v>0</v>
      </c>
      <c r="U39" s="318">
        <f>Бланк!E26</f>
        <v>0</v>
      </c>
      <c r="V39" s="318">
        <f>IF(E26="Гладкий",0,(1*D26))</f>
        <v>0</v>
      </c>
      <c r="W39" s="318">
        <f>Бланк!F26</f>
        <v>18</v>
      </c>
      <c r="X39" s="318">
        <f>Бланк!G26</f>
        <v>0</v>
      </c>
      <c r="Y39" s="185">
        <f>W39</f>
        <v>18</v>
      </c>
      <c r="Z39" s="186" t="s">
        <v>14</v>
      </c>
      <c r="AA39" s="185">
        <f>R39</f>
        <v>0</v>
      </c>
      <c r="AB39" s="185">
        <f>IF(U39="Гладкий",S39,164)</f>
        <v>164</v>
      </c>
      <c r="AC39" s="185">
        <f t="shared" ref="AC39" si="168">IF(AA39&gt;0,T39,0)</f>
        <v>0</v>
      </c>
      <c r="AD39" s="185">
        <f>H26</f>
        <v>0</v>
      </c>
      <c r="AE39" s="324">
        <f>IF(U39="Гладкий",0,((R39+S39)*2*T39/1000))</f>
        <v>0</v>
      </c>
      <c r="AF39" s="187">
        <f>IF(U39="Гладкий",((AA39+AB39)*2*AC39/1000),(AA39*2*AC39/1000))</f>
        <v>0</v>
      </c>
      <c r="AG39" s="187">
        <f t="shared" ref="AG39" si="169">IF(U39="5-ти элем",((AA39+AB39)*2+AA39)*AC39/1000,IF(U39="Витрина",((AA39+AB39)*2+AA39)*AC39/1000,IF(U39="3-х элем",((AA39+AB39)*2+AA39)*AC39/1000,IF(U39="Гладкий",(AA39+AB39)*2*AC39/1000,0))))</f>
        <v>0</v>
      </c>
      <c r="AH39" s="185">
        <f>IF(U39="5-ти элем",(AA39*2*2*AC39/1000),IF(U39="витрина",(AA39*2*AC39/1000),0))</f>
        <v>0</v>
      </c>
      <c r="AI39" s="185">
        <f>IF(U39="5-ти элем",(16*T39),IF(U39="3-х элем",(12*T39),IF(U39="витрина",(16*T39),0)))</f>
        <v>0</v>
      </c>
      <c r="AJ39" s="188">
        <f>AF39+AE39</f>
        <v>0</v>
      </c>
      <c r="AK39" s="189">
        <f t="shared" ref="AK39" si="170">AD39</f>
        <v>0</v>
      </c>
      <c r="AL39" s="185">
        <f t="shared" ref="AL39" si="171">AK39</f>
        <v>0</v>
      </c>
      <c r="AM39" s="185">
        <f t="shared" ref="AM39" si="172">IF(U39="Гладкий",AK39, 0)</f>
        <v>0</v>
      </c>
      <c r="AN39" s="190">
        <f t="shared" ref="AN39" si="173">IF(U39="Гладкий",AK39, 0)</f>
        <v>0</v>
      </c>
      <c r="AO39" s="191">
        <f>IF(U39="5-ти элем","Paz 8 mm",IF(U39="витрина","Paz 4 mm",0))</f>
        <v>0</v>
      </c>
      <c r="AP39" s="172">
        <f t="shared" si="7"/>
        <v>0</v>
      </c>
      <c r="AQ39" s="168">
        <f t="shared" si="0"/>
        <v>0</v>
      </c>
      <c r="AR39" s="172">
        <f>AF39+AF40+AE39</f>
        <v>0</v>
      </c>
      <c r="AS39" s="207" t="s">
        <v>197</v>
      </c>
      <c r="AT39" s="184"/>
      <c r="AU39" s="184"/>
      <c r="AV39" s="184"/>
      <c r="AW39" s="184"/>
      <c r="AX39" s="184"/>
      <c r="AY39" s="138"/>
    </row>
    <row r="40" spans="1:51" ht="15.75" thickBot="1" x14ac:dyDescent="0.3">
      <c r="A40" s="161">
        <v>27</v>
      </c>
      <c r="B40" s="162">
        <f>'Фасады Клеаф'!D36</f>
        <v>0</v>
      </c>
      <c r="C40" s="162">
        <f>'Фасады Клеаф'!E36</f>
        <v>0</v>
      </c>
      <c r="D40" s="162">
        <f>'Фасады Клеаф'!F36</f>
        <v>0</v>
      </c>
      <c r="E40" s="162">
        <f>'Фасады Клеаф'!C36</f>
        <v>0</v>
      </c>
      <c r="F40" s="162">
        <v>18</v>
      </c>
      <c r="G40" s="158">
        <f t="shared" si="47"/>
        <v>0</v>
      </c>
      <c r="H40" s="163">
        <f>'Фасады Клеаф'!G36</f>
        <v>0</v>
      </c>
      <c r="I40" s="184"/>
      <c r="J40" s="184"/>
      <c r="K40" s="184"/>
      <c r="L40" s="184"/>
      <c r="M40" s="184"/>
      <c r="N40" s="184"/>
      <c r="O40" s="184"/>
      <c r="P40" s="184"/>
      <c r="Q40" s="322"/>
      <c r="R40" s="319"/>
      <c r="S40" s="319"/>
      <c r="T40" s="319"/>
      <c r="U40" s="319"/>
      <c r="V40" s="319"/>
      <c r="W40" s="319"/>
      <c r="X40" s="319"/>
      <c r="Y40" s="181">
        <f>W39</f>
        <v>18</v>
      </c>
      <c r="Z40" s="192" t="s">
        <v>15</v>
      </c>
      <c r="AA40" s="181">
        <f>IF(U39="5-ти элем",(S39-160),IF(U39="витрина",(S39-160),IF(U39="3-х элем",(S39-160),0)))</f>
        <v>0</v>
      </c>
      <c r="AB40" s="181">
        <f>IF(U39="5-ти элем",164,IF(U39="витрина",164,IF(U39="3-х элем",R39,0)))</f>
        <v>0</v>
      </c>
      <c r="AC40" s="185">
        <f t="shared" ref="AC40" si="174">IF(AA40&gt;0,T39,0)</f>
        <v>0</v>
      </c>
      <c r="AD40" s="181">
        <f>H26</f>
        <v>0</v>
      </c>
      <c r="AE40" s="325"/>
      <c r="AF40" s="193">
        <f t="shared" ref="AF40" si="175">IF(U39="3-х элем",(AB40*2*AC40/1000),IF(U39="5-ти элем",((AA40+AB40)*2*AC40/1000),IF(U39="витрина",((AA40+AB40)*2*AC40/1000),0)))</f>
        <v>0</v>
      </c>
      <c r="AG40" s="187">
        <f t="shared" ref="AG40" si="176">IF(U39="5-ти элем",((AA40+AB40)*2+AA40)*AC40/1000,IF(U39="Витрина",((AA40+AB40)*2+AA40)*AC40/1000,IF(U39="3-х элем",(AA40+AB40)*2*AC40/1000,0)))</f>
        <v>0</v>
      </c>
      <c r="AH40" s="193">
        <f>IF(U39="5-ти элем",(AA40*2*2*AC40/1000),IF(U39="витрина",(AA40*2*AC40/1000),0))</f>
        <v>0</v>
      </c>
      <c r="AI40" s="181"/>
      <c r="AJ40" s="194">
        <f>AF40</f>
        <v>0</v>
      </c>
      <c r="AK40" s="195">
        <f t="shared" ref="AK40" si="177">IF(U39="5-ти элем",AK39,IF(U39="витрина",AK39,0))</f>
        <v>0</v>
      </c>
      <c r="AL40" s="181">
        <f t="shared" ref="AL40" si="178">IF(U39="5-ти элем",AK39,IF(U39="витрина",AK39,0))</f>
        <v>0</v>
      </c>
      <c r="AM40" s="181">
        <f t="shared" ref="AM40" si="179">IF(U39="Гладкий", 0,AK39)</f>
        <v>0</v>
      </c>
      <c r="AN40" s="196">
        <f t="shared" ref="AN40" si="180">IF(U39="Гладкий", 0,AK39)</f>
        <v>0</v>
      </c>
      <c r="AO40" s="197">
        <f>IF(U39="5-ти элем","Paz 8 mm",IF(U39="витрина","Paz 4 mm",0))</f>
        <v>0</v>
      </c>
      <c r="AP40" s="172">
        <f t="shared" si="7"/>
        <v>0</v>
      </c>
      <c r="AQ40" s="168">
        <f t="shared" si="0"/>
        <v>0</v>
      </c>
      <c r="AR40" s="172"/>
      <c r="AS40" s="207" t="s">
        <v>198</v>
      </c>
      <c r="AT40" s="184"/>
      <c r="AU40" s="184"/>
      <c r="AV40" s="184"/>
      <c r="AW40" s="184"/>
      <c r="AX40" s="184"/>
      <c r="AY40" s="138"/>
    </row>
    <row r="41" spans="1:51" ht="15.75" thickBot="1" x14ac:dyDescent="0.3">
      <c r="A41" s="161">
        <v>28</v>
      </c>
      <c r="B41" s="162">
        <f>'Фасады Клеаф'!D37</f>
        <v>0</v>
      </c>
      <c r="C41" s="162">
        <f>'Фасады Клеаф'!E37</f>
        <v>0</v>
      </c>
      <c r="D41" s="162">
        <f>'Фасады Клеаф'!F37</f>
        <v>0</v>
      </c>
      <c r="E41" s="162">
        <f>'Фасады Клеаф'!C37</f>
        <v>0</v>
      </c>
      <c r="F41" s="162">
        <v>18</v>
      </c>
      <c r="G41" s="158">
        <f t="shared" si="47"/>
        <v>0</v>
      </c>
      <c r="H41" s="163">
        <f>'Фасады Клеаф'!G37</f>
        <v>0</v>
      </c>
      <c r="I41" s="184"/>
      <c r="J41" s="184"/>
      <c r="K41" s="184"/>
      <c r="L41" s="184"/>
      <c r="M41" s="184"/>
      <c r="N41" s="184"/>
      <c r="O41" s="184"/>
      <c r="P41" s="184"/>
      <c r="Q41" s="323"/>
      <c r="R41" s="320"/>
      <c r="S41" s="320"/>
      <c r="T41" s="320"/>
      <c r="U41" s="320"/>
      <c r="V41" s="320"/>
      <c r="W41" s="320"/>
      <c r="X41" s="320"/>
      <c r="Y41" s="199">
        <f>X39</f>
        <v>0</v>
      </c>
      <c r="Z41" s="200" t="s">
        <v>1</v>
      </c>
      <c r="AA41" s="199">
        <f>IF(U39="5-ти элем",(R39-160+19),IF(U39="витрина",(R39-160+19),0))</f>
        <v>0</v>
      </c>
      <c r="AB41" s="199">
        <f>IF(U39="5-ти элем",(S39-160+19),IF(U39="витрина",(S39-160+19),0))</f>
        <v>0</v>
      </c>
      <c r="AC41" s="199">
        <f t="shared" ref="AC41" si="181">IF(U39="Гладкий",0,IF(U39="3-х элем",0,T39))</f>
        <v>0</v>
      </c>
      <c r="AD41" s="199">
        <f>IF(E26="Витрина","Стекло",H26)</f>
        <v>0</v>
      </c>
      <c r="AE41" s="326"/>
      <c r="AF41" s="199"/>
      <c r="AG41" s="201">
        <f t="shared" ref="AG41" si="182">IF(Y41=8,(AA41+AB41)*2*AC41/1000,0)</f>
        <v>0</v>
      </c>
      <c r="AH41" s="201">
        <v>0</v>
      </c>
      <c r="AI41" s="199"/>
      <c r="AJ41" s="206"/>
      <c r="AK41" s="203">
        <v>0</v>
      </c>
      <c r="AL41" s="199">
        <v>0</v>
      </c>
      <c r="AM41" s="199">
        <v>0</v>
      </c>
      <c r="AN41" s="202">
        <v>0</v>
      </c>
      <c r="AO41" s="204"/>
      <c r="AP41" s="172">
        <f>IF(AD41="Стекло",0,(AA41*AB41*AC41/1000000))</f>
        <v>0</v>
      </c>
      <c r="AQ41" s="168">
        <f t="shared" si="0"/>
        <v>0</v>
      </c>
      <c r="AR41" s="172"/>
      <c r="AS41" s="207" t="s">
        <v>199</v>
      </c>
      <c r="AT41" s="184"/>
      <c r="AU41" s="184"/>
      <c r="AV41" s="184"/>
      <c r="AW41" s="184"/>
      <c r="AX41" s="184"/>
      <c r="AY41" s="138"/>
    </row>
    <row r="42" spans="1:51" ht="15.75" thickBot="1" x14ac:dyDescent="0.3">
      <c r="A42" s="161">
        <v>29</v>
      </c>
      <c r="B42" s="162">
        <f>'Фасады Клеаф'!D38</f>
        <v>0</v>
      </c>
      <c r="C42" s="162">
        <f>'Фасады Клеаф'!E38</f>
        <v>0</v>
      </c>
      <c r="D42" s="162">
        <f>'Фасады Клеаф'!F38</f>
        <v>0</v>
      </c>
      <c r="E42" s="162">
        <f>'Фасады Клеаф'!C38</f>
        <v>0</v>
      </c>
      <c r="F42" s="162">
        <v>18</v>
      </c>
      <c r="G42" s="158">
        <f t="shared" si="47"/>
        <v>0</v>
      </c>
      <c r="H42" s="163">
        <f>'Фасады Клеаф'!G38</f>
        <v>0</v>
      </c>
      <c r="I42" s="184"/>
      <c r="J42" s="184"/>
      <c r="K42" s="184"/>
      <c r="L42" s="184"/>
      <c r="M42" s="184"/>
      <c r="N42" s="184"/>
      <c r="O42" s="184"/>
      <c r="P42" s="184"/>
      <c r="Q42" s="321">
        <v>14</v>
      </c>
      <c r="R42" s="318">
        <f>Бланк!B27</f>
        <v>0</v>
      </c>
      <c r="S42" s="318">
        <f>Бланк!C27</f>
        <v>0</v>
      </c>
      <c r="T42" s="318">
        <f>Бланк!D27</f>
        <v>0</v>
      </c>
      <c r="U42" s="318">
        <f>Бланк!E27</f>
        <v>0</v>
      </c>
      <c r="V42" s="318">
        <f>IF(E27="Гладкий",0,(1*D27))</f>
        <v>0</v>
      </c>
      <c r="W42" s="318">
        <f>Бланк!F27</f>
        <v>18</v>
      </c>
      <c r="X42" s="318">
        <f>Бланк!G27</f>
        <v>0</v>
      </c>
      <c r="Y42" s="185">
        <f>W42</f>
        <v>18</v>
      </c>
      <c r="Z42" s="186" t="s">
        <v>14</v>
      </c>
      <c r="AA42" s="185">
        <f>R42</f>
        <v>0</v>
      </c>
      <c r="AB42" s="185">
        <f>IF(U42="Гладкий",S42,164)</f>
        <v>164</v>
      </c>
      <c r="AC42" s="185">
        <f t="shared" ref="AC42" si="183">IF(AA42&gt;0,T42,0)</f>
        <v>0</v>
      </c>
      <c r="AD42" s="185">
        <f>H27</f>
        <v>0</v>
      </c>
      <c r="AE42" s="324">
        <f>IF(U42="Гладкий",0,((R42+S42)*2*T42/1000))</f>
        <v>0</v>
      </c>
      <c r="AF42" s="187">
        <f>IF(U42="Гладкий",((AA42+AB42)*2*AC42/1000),(AA42*2*AC42/1000))</f>
        <v>0</v>
      </c>
      <c r="AG42" s="187">
        <f t="shared" ref="AG42" si="184">IF(U42="5-ти элем",((AA42+AB42)*2+AA42)*AC42/1000,IF(U42="Витрина",((AA42+AB42)*2+AA42)*AC42/1000,IF(U42="3-х элем",((AA42+AB42)*2+AA42)*AC42/1000,IF(U42="Гладкий",(AA42+AB42)*2*AC42/1000,0))))</f>
        <v>0</v>
      </c>
      <c r="AH42" s="185">
        <f>IF(U42="5-ти элем",(AA42*2*2*AC42/1000),IF(U42="витрина",(AA42*2*AC42/1000),0))</f>
        <v>0</v>
      </c>
      <c r="AI42" s="185">
        <f>IF(U42="5-ти элем",(16*T42),IF(U42="3-х элем",(12*T42),IF(U42="витрина",(16*T42),0)))</f>
        <v>0</v>
      </c>
      <c r="AJ42" s="188">
        <f>AF42+AE42</f>
        <v>0</v>
      </c>
      <c r="AK42" s="189">
        <f t="shared" ref="AK42" si="185">AD42</f>
        <v>0</v>
      </c>
      <c r="AL42" s="185">
        <f t="shared" ref="AL42" si="186">AK42</f>
        <v>0</v>
      </c>
      <c r="AM42" s="185">
        <f t="shared" ref="AM42" si="187">IF(U42="Гладкий",AK42, 0)</f>
        <v>0</v>
      </c>
      <c r="AN42" s="190">
        <f t="shared" ref="AN42" si="188">IF(U42="Гладкий",AK42, 0)</f>
        <v>0</v>
      </c>
      <c r="AO42" s="191">
        <f>IF(U42="5-ти элем","Paz 8 mm",IF(U42="витрина","Paz 4 mm",0))</f>
        <v>0</v>
      </c>
      <c r="AP42" s="172">
        <f t="shared" si="7"/>
        <v>0</v>
      </c>
      <c r="AQ42" s="168">
        <f t="shared" si="0"/>
        <v>0</v>
      </c>
      <c r="AR42" s="172">
        <f>AF42+AF43+AE42</f>
        <v>0</v>
      </c>
      <c r="AS42" s="207" t="s">
        <v>200</v>
      </c>
      <c r="AT42" s="184"/>
      <c r="AU42" s="184"/>
      <c r="AV42" s="184"/>
      <c r="AW42" s="184"/>
      <c r="AX42" s="184"/>
      <c r="AY42" s="138"/>
    </row>
    <row r="43" spans="1:51" ht="15.75" thickBot="1" x14ac:dyDescent="0.3">
      <c r="A43" s="165">
        <v>30</v>
      </c>
      <c r="B43" s="166">
        <f>'Фасады Клеаф'!D39</f>
        <v>0</v>
      </c>
      <c r="C43" s="166">
        <f>'Фасады Клеаф'!E39</f>
        <v>0</v>
      </c>
      <c r="D43" s="166">
        <f>'Фасады Клеаф'!F39</f>
        <v>0</v>
      </c>
      <c r="E43" s="166">
        <f>'Фасады Клеаф'!C39</f>
        <v>0</v>
      </c>
      <c r="F43" s="166">
        <v>18</v>
      </c>
      <c r="G43" s="158">
        <f t="shared" si="47"/>
        <v>0</v>
      </c>
      <c r="H43" s="167">
        <f>'Фасады Клеаф'!G39</f>
        <v>0</v>
      </c>
      <c r="I43" s="184"/>
      <c r="J43" s="184"/>
      <c r="K43" s="184"/>
      <c r="L43" s="184"/>
      <c r="M43" s="184"/>
      <c r="N43" s="184"/>
      <c r="O43" s="184"/>
      <c r="P43" s="184"/>
      <c r="Q43" s="322"/>
      <c r="R43" s="319"/>
      <c r="S43" s="319"/>
      <c r="T43" s="319"/>
      <c r="U43" s="319"/>
      <c r="V43" s="319"/>
      <c r="W43" s="319"/>
      <c r="X43" s="319"/>
      <c r="Y43" s="181">
        <f>W42</f>
        <v>18</v>
      </c>
      <c r="Z43" s="192" t="s">
        <v>15</v>
      </c>
      <c r="AA43" s="181">
        <f>IF(U42="5-ти элем",(S42-160),IF(U42="витрина",(S42-160),IF(U42="3-х элем",(S42-160),0)))</f>
        <v>0</v>
      </c>
      <c r="AB43" s="181">
        <f>IF(U42="5-ти элем",164,IF(U42="витрина",164,IF(U42="3-х элем",R42,0)))</f>
        <v>0</v>
      </c>
      <c r="AC43" s="185">
        <f t="shared" ref="AC43" si="189">IF(AA43&gt;0,T42,0)</f>
        <v>0</v>
      </c>
      <c r="AD43" s="181">
        <f>H27</f>
        <v>0</v>
      </c>
      <c r="AE43" s="325"/>
      <c r="AF43" s="193">
        <f t="shared" ref="AF43" si="190">IF(U42="3-х элем",(AB43*2*AC43/1000),IF(U42="5-ти элем",((AA43+AB43)*2*AC43/1000),IF(U42="витрина",((AA43+AB43)*2*AC43/1000),0)))</f>
        <v>0</v>
      </c>
      <c r="AG43" s="187">
        <f t="shared" ref="AG43" si="191">IF(U42="5-ти элем",((AA43+AB43)*2+AA43)*AC43/1000,IF(U42="Витрина",((AA43+AB43)*2+AA43)*AC43/1000,IF(U42="3-х элем",(AA43+AB43)*2*AC43/1000,0)))</f>
        <v>0</v>
      </c>
      <c r="AH43" s="193">
        <f>IF(U42="5-ти элем",(AA43*2*2*AC43/1000),IF(U42="витрина",(AA43*2*AC43/1000),0))</f>
        <v>0</v>
      </c>
      <c r="AI43" s="181"/>
      <c r="AJ43" s="194">
        <f>AF43</f>
        <v>0</v>
      </c>
      <c r="AK43" s="195">
        <f t="shared" ref="AK43" si="192">IF(U42="5-ти элем",AK42,IF(U42="витрина",AK42,0))</f>
        <v>0</v>
      </c>
      <c r="AL43" s="181">
        <f t="shared" ref="AL43" si="193">IF(U42="5-ти элем",AK42,IF(U42="витрина",AK42,0))</f>
        <v>0</v>
      </c>
      <c r="AM43" s="181">
        <f t="shared" ref="AM43" si="194">IF(U42="Гладкий", 0,AK42)</f>
        <v>0</v>
      </c>
      <c r="AN43" s="196">
        <f t="shared" ref="AN43" si="195">IF(U42="Гладкий", 0,AK42)</f>
        <v>0</v>
      </c>
      <c r="AO43" s="197">
        <f>IF(U42="5-ти элем","Paz 8 mm",IF(U42="витрина","Paz 4 mm",0))</f>
        <v>0</v>
      </c>
      <c r="AP43" s="172">
        <f t="shared" si="7"/>
        <v>0</v>
      </c>
      <c r="AQ43" s="168">
        <f t="shared" si="0"/>
        <v>0</v>
      </c>
      <c r="AR43" s="172"/>
      <c r="AS43" s="207" t="s">
        <v>201</v>
      </c>
      <c r="AT43" s="184"/>
      <c r="AU43" s="184"/>
      <c r="AV43" s="184"/>
      <c r="AW43" s="184"/>
      <c r="AX43" s="184"/>
      <c r="AY43" s="138"/>
    </row>
    <row r="44" spans="1:51" ht="15.75" thickBot="1" x14ac:dyDescent="0.3">
      <c r="A44" s="144"/>
      <c r="B44" s="144"/>
      <c r="C44" s="144"/>
      <c r="D44" s="144"/>
      <c r="E44" s="144"/>
      <c r="F44" s="144"/>
      <c r="G44" s="144"/>
      <c r="H44" s="144"/>
      <c r="I44" s="184"/>
      <c r="J44" s="184"/>
      <c r="K44" s="184"/>
      <c r="L44" s="184"/>
      <c r="M44" s="184"/>
      <c r="N44" s="184"/>
      <c r="O44" s="184"/>
      <c r="P44" s="184"/>
      <c r="Q44" s="323"/>
      <c r="R44" s="320"/>
      <c r="S44" s="320"/>
      <c r="T44" s="320"/>
      <c r="U44" s="320"/>
      <c r="V44" s="320"/>
      <c r="W44" s="320"/>
      <c r="X44" s="320"/>
      <c r="Y44" s="199">
        <f>X42</f>
        <v>0</v>
      </c>
      <c r="Z44" s="200" t="s">
        <v>1</v>
      </c>
      <c r="AA44" s="199">
        <f>IF(U42="5-ти элем",(R42-160+19),IF(U42="витрина",(R42-160+19),0))</f>
        <v>0</v>
      </c>
      <c r="AB44" s="199">
        <f>IF(U42="5-ти элем",(S42-160+19),IF(U42="витрина",(S42-160+19),0))</f>
        <v>0</v>
      </c>
      <c r="AC44" s="199">
        <f t="shared" ref="AC44" si="196">IF(U42="Гладкий",0,IF(U42="3-х элем",0,T42))</f>
        <v>0</v>
      </c>
      <c r="AD44" s="199">
        <f>IF(E27="Витрина","Стекло",H27)</f>
        <v>0</v>
      </c>
      <c r="AE44" s="326"/>
      <c r="AF44" s="199"/>
      <c r="AG44" s="201">
        <f t="shared" ref="AG44" si="197">IF(Y44=8,(AA44+AB44)*2*AC44/1000,0)</f>
        <v>0</v>
      </c>
      <c r="AH44" s="201">
        <v>0</v>
      </c>
      <c r="AI44" s="199"/>
      <c r="AJ44" s="206"/>
      <c r="AK44" s="203">
        <v>0</v>
      </c>
      <c r="AL44" s="199">
        <v>0</v>
      </c>
      <c r="AM44" s="199">
        <v>0</v>
      </c>
      <c r="AN44" s="202">
        <v>0</v>
      </c>
      <c r="AO44" s="204"/>
      <c r="AP44" s="172">
        <f>IF(AD44="Стекло",0,(AA44*AB44*AC44/1000000))</f>
        <v>0</v>
      </c>
      <c r="AQ44" s="168">
        <f t="shared" si="0"/>
        <v>0</v>
      </c>
      <c r="AR44" s="172"/>
      <c r="AS44" s="207" t="s">
        <v>202</v>
      </c>
      <c r="AT44" s="184"/>
      <c r="AU44" s="184"/>
      <c r="AV44" s="184"/>
      <c r="AW44" s="184"/>
      <c r="AX44" s="184"/>
      <c r="AY44" s="138"/>
    </row>
    <row r="45" spans="1:51" ht="15.75" thickBot="1" x14ac:dyDescent="0.3">
      <c r="A45" s="184"/>
      <c r="B45" s="184"/>
      <c r="C45" s="184"/>
      <c r="D45" s="184"/>
      <c r="E45" s="184"/>
      <c r="F45" s="184"/>
      <c r="G45" s="184"/>
      <c r="H45" s="184"/>
      <c r="I45" s="184"/>
      <c r="J45" s="184"/>
      <c r="K45" s="184"/>
      <c r="L45" s="184"/>
      <c r="M45" s="184"/>
      <c r="N45" s="184"/>
      <c r="O45" s="184"/>
      <c r="P45" s="184"/>
      <c r="Q45" s="321">
        <v>15</v>
      </c>
      <c r="R45" s="318">
        <f>Бланк!B28</f>
        <v>0</v>
      </c>
      <c r="S45" s="318">
        <f>Бланк!C28</f>
        <v>0</v>
      </c>
      <c r="T45" s="318">
        <f>Бланк!D28</f>
        <v>0</v>
      </c>
      <c r="U45" s="318">
        <f>Бланк!E28</f>
        <v>0</v>
      </c>
      <c r="V45" s="318">
        <f>IF(E28="Гладкий",0,(1*D28))</f>
        <v>0</v>
      </c>
      <c r="W45" s="318">
        <f>Бланк!F28</f>
        <v>18</v>
      </c>
      <c r="X45" s="318">
        <f>Бланк!G28</f>
        <v>0</v>
      </c>
      <c r="Y45" s="185">
        <f>W45</f>
        <v>18</v>
      </c>
      <c r="Z45" s="186" t="s">
        <v>14</v>
      </c>
      <c r="AA45" s="185">
        <f>R45</f>
        <v>0</v>
      </c>
      <c r="AB45" s="185">
        <f>IF(U45="Гладкий",S45,164)</f>
        <v>164</v>
      </c>
      <c r="AC45" s="185">
        <f t="shared" ref="AC45" si="198">IF(AA45&gt;0,T45,0)</f>
        <v>0</v>
      </c>
      <c r="AD45" s="185">
        <f>H28</f>
        <v>0</v>
      </c>
      <c r="AE45" s="324">
        <f>IF(U45="Гладкий",0,((R45+S45)*2*T45/1000))</f>
        <v>0</v>
      </c>
      <c r="AF45" s="187">
        <f>IF(U45="Гладкий",((AA45+AB45)*2*AC45/1000),(AA45*2*AC45/1000))</f>
        <v>0</v>
      </c>
      <c r="AG45" s="187">
        <f t="shared" ref="AG45" si="199">IF(U45="5-ти элем",((AA45+AB45)*2+AA45)*AC45/1000,IF(U45="Витрина",((AA45+AB45)*2+AA45)*AC45/1000,IF(U45="3-х элем",((AA45+AB45)*2+AA45)*AC45/1000,IF(U45="Гладкий",(AA45+AB45)*2*AC45/1000,0))))</f>
        <v>0</v>
      </c>
      <c r="AH45" s="185">
        <f>IF(U45="5-ти элем",(AA45*2*2*AC45/1000),IF(U45="витрина",(AA45*2*AC45/1000),0))</f>
        <v>0</v>
      </c>
      <c r="AI45" s="185">
        <f>IF(U45="5-ти элем",(16*T45),IF(U45="3-х элем",(12*T45),IF(U45="витрина",(16*T45),0)))</f>
        <v>0</v>
      </c>
      <c r="AJ45" s="188">
        <f>AF45+AE45</f>
        <v>0</v>
      </c>
      <c r="AK45" s="189">
        <f t="shared" ref="AK45" si="200">AD45</f>
        <v>0</v>
      </c>
      <c r="AL45" s="185">
        <f t="shared" ref="AL45" si="201">AK45</f>
        <v>0</v>
      </c>
      <c r="AM45" s="185">
        <f t="shared" ref="AM45" si="202">IF(U45="Гладкий",AK45, 0)</f>
        <v>0</v>
      </c>
      <c r="AN45" s="190">
        <f t="shared" ref="AN45" si="203">IF(U45="Гладкий",AK45, 0)</f>
        <v>0</v>
      </c>
      <c r="AO45" s="191">
        <f>IF(U45="5-ти элем","Paz 8 mm",IF(U45="витрина","Paz 4 mm",0))</f>
        <v>0</v>
      </c>
      <c r="AP45" s="172">
        <f t="shared" si="7"/>
        <v>0</v>
      </c>
      <c r="AQ45" s="168">
        <f t="shared" si="0"/>
        <v>0</v>
      </c>
      <c r="AR45" s="172">
        <f>AF45+AF46+AE45</f>
        <v>0</v>
      </c>
      <c r="AS45" s="207" t="s">
        <v>203</v>
      </c>
      <c r="AT45" s="184"/>
      <c r="AU45" s="184"/>
      <c r="AV45" s="184"/>
      <c r="AW45" s="184"/>
      <c r="AX45" s="184"/>
      <c r="AY45" s="138"/>
    </row>
    <row r="46" spans="1:51" x14ac:dyDescent="0.25">
      <c r="A46" s="147" t="s">
        <v>34</v>
      </c>
      <c r="B46" s="144"/>
      <c r="C46" s="144"/>
      <c r="D46" s="144"/>
      <c r="E46" s="184"/>
      <c r="F46" s="184"/>
      <c r="G46" s="184"/>
      <c r="H46" s="184"/>
      <c r="I46" s="184"/>
      <c r="J46" s="184"/>
      <c r="K46" s="184"/>
      <c r="L46" s="184"/>
      <c r="M46" s="184"/>
      <c r="N46" s="184"/>
      <c r="O46" s="184"/>
      <c r="P46" s="184"/>
      <c r="Q46" s="322"/>
      <c r="R46" s="319"/>
      <c r="S46" s="319"/>
      <c r="T46" s="319"/>
      <c r="U46" s="319"/>
      <c r="V46" s="319"/>
      <c r="W46" s="319"/>
      <c r="X46" s="319"/>
      <c r="Y46" s="181">
        <f>W45</f>
        <v>18</v>
      </c>
      <c r="Z46" s="192" t="s">
        <v>15</v>
      </c>
      <c r="AA46" s="181">
        <f>IF(U45="5-ти элем",(S45-160),IF(U45="витрина",(S45-160),IF(U45="3-х элем",(S45-160),0)))</f>
        <v>0</v>
      </c>
      <c r="AB46" s="181">
        <f>IF(U45="5-ти элем",164,IF(U45="витрина",164,IF(U45="3-х элем",R45,0)))</f>
        <v>0</v>
      </c>
      <c r="AC46" s="185">
        <f t="shared" ref="AC46" si="204">IF(AA46&gt;0,T45,0)</f>
        <v>0</v>
      </c>
      <c r="AD46" s="181">
        <f>H28</f>
        <v>0</v>
      </c>
      <c r="AE46" s="325"/>
      <c r="AF46" s="193">
        <f t="shared" ref="AF46" si="205">IF(U45="3-х элем",(AB46*2*AC46/1000),IF(U45="5-ти элем",((AA46+AB46)*2*AC46/1000),IF(U45="витрина",((AA46+AB46)*2*AC46/1000),0)))</f>
        <v>0</v>
      </c>
      <c r="AG46" s="187">
        <f t="shared" ref="AG46" si="206">IF(U45="5-ти элем",((AA46+AB46)*2+AA46)*AC46/1000,IF(U45="Витрина",((AA46+AB46)*2+AA46)*AC46/1000,IF(U45="3-х элем",(AA46+AB46)*2*AC46/1000,0)))</f>
        <v>0</v>
      </c>
      <c r="AH46" s="193">
        <f>IF(U45="5-ти элем",(AA46*2*2*AC46/1000),IF(U45="витрина",(AA46*2*AC46/1000),0))</f>
        <v>0</v>
      </c>
      <c r="AI46" s="181"/>
      <c r="AJ46" s="194">
        <f>AF46</f>
        <v>0</v>
      </c>
      <c r="AK46" s="195">
        <f t="shared" ref="AK46" si="207">IF(U45="5-ти элем",AK45,IF(U45="витрина",AK45,0))</f>
        <v>0</v>
      </c>
      <c r="AL46" s="181">
        <f t="shared" ref="AL46" si="208">IF(U45="5-ти элем",AK45,IF(U45="витрина",AK45,0))</f>
        <v>0</v>
      </c>
      <c r="AM46" s="181">
        <f t="shared" ref="AM46" si="209">IF(U45="Гладкий", 0,AK45)</f>
        <v>0</v>
      </c>
      <c r="AN46" s="196">
        <f t="shared" ref="AN46" si="210">IF(U45="Гладкий", 0,AK45)</f>
        <v>0</v>
      </c>
      <c r="AO46" s="197">
        <f>IF(U45="5-ти элем","Paz 8 mm",IF(U45="витрина","Paz 4 mm",0))</f>
        <v>0</v>
      </c>
      <c r="AP46" s="172">
        <f t="shared" si="7"/>
        <v>0</v>
      </c>
      <c r="AQ46" s="168">
        <f t="shared" si="0"/>
        <v>0</v>
      </c>
      <c r="AR46" s="172"/>
      <c r="AS46" s="207" t="s">
        <v>204</v>
      </c>
      <c r="AT46" s="184"/>
      <c r="AU46" s="184"/>
      <c r="AV46" s="184"/>
      <c r="AW46" s="184"/>
      <c r="AX46" s="184"/>
      <c r="AY46" s="138"/>
    </row>
    <row r="47" spans="1:51" ht="15.75" thickBot="1" x14ac:dyDescent="0.3">
      <c r="A47" s="184"/>
      <c r="B47" s="184"/>
      <c r="C47" s="184"/>
      <c r="D47" s="184"/>
      <c r="E47" s="184"/>
      <c r="F47" s="184"/>
      <c r="G47" s="184"/>
      <c r="H47" s="184"/>
      <c r="I47" s="184"/>
      <c r="J47" s="184"/>
      <c r="K47" s="184"/>
      <c r="L47" s="184"/>
      <c r="M47" s="184"/>
      <c r="N47" s="184"/>
      <c r="O47" s="184"/>
      <c r="P47" s="184"/>
      <c r="Q47" s="323"/>
      <c r="R47" s="320"/>
      <c r="S47" s="320"/>
      <c r="T47" s="320"/>
      <c r="U47" s="320"/>
      <c r="V47" s="320"/>
      <c r="W47" s="320"/>
      <c r="X47" s="320"/>
      <c r="Y47" s="199">
        <f>X45</f>
        <v>0</v>
      </c>
      <c r="Z47" s="200" t="s">
        <v>1</v>
      </c>
      <c r="AA47" s="199">
        <f>IF(U45="5-ти элем",(R45-160+19),IF(U45="витрина",(R45-160+19),0))</f>
        <v>0</v>
      </c>
      <c r="AB47" s="199">
        <f>IF(U45="5-ти элем",(S45-160+19),IF(U45="витрина",(S45-160+19),0))</f>
        <v>0</v>
      </c>
      <c r="AC47" s="199">
        <f t="shared" ref="AC47" si="211">IF(U45="Гладкий",0,IF(U45="3-х элем",0,T45))</f>
        <v>0</v>
      </c>
      <c r="AD47" s="199">
        <f>IF(E28="Витрина","Стекло",H28)</f>
        <v>0</v>
      </c>
      <c r="AE47" s="326"/>
      <c r="AF47" s="199"/>
      <c r="AG47" s="201">
        <f t="shared" ref="AG47" si="212">IF(Y47=8,(AA47+AB47)*2*AC47/1000,0)</f>
        <v>0</v>
      </c>
      <c r="AH47" s="201">
        <v>0</v>
      </c>
      <c r="AI47" s="199"/>
      <c r="AJ47" s="206"/>
      <c r="AK47" s="203">
        <v>0</v>
      </c>
      <c r="AL47" s="199">
        <v>0</v>
      </c>
      <c r="AM47" s="199">
        <v>0</v>
      </c>
      <c r="AN47" s="202">
        <v>0</v>
      </c>
      <c r="AO47" s="204"/>
      <c r="AP47" s="172">
        <f>IF(AD47="Стекло",0,(AA47*AB47*AC47/1000000))</f>
        <v>0</v>
      </c>
      <c r="AQ47" s="168">
        <f t="shared" si="0"/>
        <v>0</v>
      </c>
      <c r="AR47" s="172"/>
      <c r="AS47" s="207" t="s">
        <v>205</v>
      </c>
      <c r="AT47" s="184"/>
      <c r="AU47" s="184"/>
      <c r="AV47" s="184"/>
      <c r="AW47" s="184"/>
      <c r="AX47" s="184"/>
      <c r="AY47" s="138"/>
    </row>
    <row r="48" spans="1:51" ht="15.75" thickBot="1" x14ac:dyDescent="0.3">
      <c r="A48" s="184"/>
      <c r="B48" s="184"/>
      <c r="C48" s="184"/>
      <c r="D48" s="184"/>
      <c r="E48" s="184"/>
      <c r="F48" s="184"/>
      <c r="G48" s="184"/>
      <c r="H48" s="184"/>
      <c r="I48" s="184"/>
      <c r="J48" s="184"/>
      <c r="K48" s="184"/>
      <c r="L48" s="184"/>
      <c r="M48" s="184"/>
      <c r="N48" s="184"/>
      <c r="O48" s="184"/>
      <c r="P48" s="184"/>
      <c r="Q48" s="321">
        <v>16</v>
      </c>
      <c r="R48" s="318">
        <f>Бланк!B29</f>
        <v>0</v>
      </c>
      <c r="S48" s="318">
        <f>Бланк!C29</f>
        <v>0</v>
      </c>
      <c r="T48" s="318">
        <f>Бланк!D29</f>
        <v>0</v>
      </c>
      <c r="U48" s="318">
        <f>Бланк!E29</f>
        <v>0</v>
      </c>
      <c r="V48" s="318">
        <f>IF(E29="Гладкий",0,(1*D29))</f>
        <v>0</v>
      </c>
      <c r="W48" s="318">
        <f>Бланк!F29</f>
        <v>18</v>
      </c>
      <c r="X48" s="318">
        <f>Бланк!G29</f>
        <v>0</v>
      </c>
      <c r="Y48" s="185">
        <f t="shared" ref="Y48" si="213">W48</f>
        <v>18</v>
      </c>
      <c r="Z48" s="186" t="s">
        <v>14</v>
      </c>
      <c r="AA48" s="185">
        <f t="shared" ref="AA48" si="214">R48</f>
        <v>0</v>
      </c>
      <c r="AB48" s="185">
        <f>IF(U48="Гладкий",S48,164)</f>
        <v>164</v>
      </c>
      <c r="AC48" s="185">
        <f t="shared" ref="AC48" si="215">IF(AA48&gt;0,T48,0)</f>
        <v>0</v>
      </c>
      <c r="AD48" s="185">
        <f>H29</f>
        <v>0</v>
      </c>
      <c r="AE48" s="324">
        <f>IF(U48="Гладкий",0,((R48+S48)*2*T48/1000))</f>
        <v>0</v>
      </c>
      <c r="AF48" s="187">
        <f>IF(U48="Гладкий",((AA48+AB48)*2*AC48/1000),(AA48*2*AC48/1000))</f>
        <v>0</v>
      </c>
      <c r="AG48" s="187">
        <f t="shared" ref="AG48" si="216">IF(U48="5-ти элем",((AA48+AB48)*2+AA48)*AC48/1000,IF(U48="Витрина",((AA48+AB48)*2+AA48)*AC48/1000,IF(U48="3-х элем",((AA48+AB48)*2+AA48)*AC48/1000,IF(U48="Гладкий",(AA48+AB48)*2*AC48/1000,0))))</f>
        <v>0</v>
      </c>
      <c r="AH48" s="185">
        <f t="shared" ref="AH48" si="217">IF(U48="5-ти элем",(AA48*2*2*AC48/1000),IF(U48="витрина",(AA48*2*AC48/1000),0))</f>
        <v>0</v>
      </c>
      <c r="AI48" s="185">
        <f t="shared" ref="AI48" si="218">IF(U48="5-ти элем",(16*T48),IF(U48="3-х элем",(12*T48),IF(U48="витрина",(16*T48),0)))</f>
        <v>0</v>
      </c>
      <c r="AJ48" s="188">
        <f t="shared" ref="AJ48" si="219">AF48+AE48</f>
        <v>0</v>
      </c>
      <c r="AK48" s="189">
        <f t="shared" ref="AK48" si="220">AD48</f>
        <v>0</v>
      </c>
      <c r="AL48" s="185">
        <f t="shared" ref="AL48" si="221">AK48</f>
        <v>0</v>
      </c>
      <c r="AM48" s="185">
        <f t="shared" ref="AM48" si="222">IF(U48="Гладкий",AK48, 0)</f>
        <v>0</v>
      </c>
      <c r="AN48" s="190">
        <f t="shared" ref="AN48" si="223">IF(U48="Гладкий",AK48, 0)</f>
        <v>0</v>
      </c>
      <c r="AO48" s="191">
        <f t="shared" ref="AO48" si="224">IF(U48="5-ти элем","Paz 8 mm",IF(U48="витрина","Paz 4 mm",0))</f>
        <v>0</v>
      </c>
      <c r="AP48" s="172">
        <f t="shared" ref="AP48:AP82" si="225">(AA48*AB48*AC48)/1000000</f>
        <v>0</v>
      </c>
      <c r="AQ48" s="168">
        <f t="shared" si="0"/>
        <v>0</v>
      </c>
      <c r="AR48" s="172">
        <f>AF48+AF49+AE48</f>
        <v>0</v>
      </c>
      <c r="AS48" s="207" t="s">
        <v>206</v>
      </c>
      <c r="AT48" s="184"/>
      <c r="AU48" s="184"/>
      <c r="AV48" s="184"/>
      <c r="AW48" s="184"/>
      <c r="AX48" s="184"/>
      <c r="AY48" s="138"/>
    </row>
    <row r="49" spans="1:51" x14ac:dyDescent="0.25">
      <c r="A49" s="184"/>
      <c r="B49" s="184"/>
      <c r="C49" s="184"/>
      <c r="D49" s="184"/>
      <c r="E49" s="184"/>
      <c r="F49" s="184"/>
      <c r="G49" s="184"/>
      <c r="H49" s="184"/>
      <c r="I49" s="184"/>
      <c r="J49" s="184"/>
      <c r="K49" s="184"/>
      <c r="L49" s="184"/>
      <c r="M49" s="184"/>
      <c r="N49" s="184"/>
      <c r="O49" s="184"/>
      <c r="P49" s="184"/>
      <c r="Q49" s="322"/>
      <c r="R49" s="319"/>
      <c r="S49" s="319"/>
      <c r="T49" s="319"/>
      <c r="U49" s="319"/>
      <c r="V49" s="319"/>
      <c r="W49" s="319"/>
      <c r="X49" s="319"/>
      <c r="Y49" s="181">
        <f t="shared" ref="Y49" si="226">W48</f>
        <v>18</v>
      </c>
      <c r="Z49" s="192" t="s">
        <v>15</v>
      </c>
      <c r="AA49" s="181">
        <f t="shared" ref="AA49" si="227">IF(U48="5-ти элем",(S48-160),IF(U48="витрина",(S48-160),IF(U48="3-х элем",(S48-160),0)))</f>
        <v>0</v>
      </c>
      <c r="AB49" s="181">
        <f t="shared" ref="AB49" si="228">IF(U48="5-ти элем",164,IF(U48="витрина",164,IF(U48="3-х элем",R48,0)))</f>
        <v>0</v>
      </c>
      <c r="AC49" s="185">
        <f t="shared" ref="AC49" si="229">IF(AA49&gt;0,T48,0)</f>
        <v>0</v>
      </c>
      <c r="AD49" s="181">
        <f>H29</f>
        <v>0</v>
      </c>
      <c r="AE49" s="325"/>
      <c r="AF49" s="193">
        <f t="shared" ref="AF49" si="230">IF(U48="3-х элем",(AB49*2*AC49/1000),IF(U48="5-ти элем",((AA49+AB49)*2*AC49/1000),IF(U48="витрина",((AA49+AB49)*2*AC49/1000),0)))</f>
        <v>0</v>
      </c>
      <c r="AG49" s="187">
        <f t="shared" ref="AG49" si="231">IF(U48="5-ти элем",((AA49+AB49)*2+AA49)*AC49/1000,IF(U48="Витрина",((AA49+AB49)*2+AA49)*AC49/1000,IF(U48="3-х элем",(AA49+AB49)*2*AC49/1000,0)))</f>
        <v>0</v>
      </c>
      <c r="AH49" s="193">
        <f t="shared" ref="AH49" si="232">IF(U48="5-ти элем",(AA49*2*2*AC49/1000),IF(U48="витрина",(AA49*2*AC49/1000),0))</f>
        <v>0</v>
      </c>
      <c r="AI49" s="181"/>
      <c r="AJ49" s="194">
        <f t="shared" ref="AJ49" si="233">AF49</f>
        <v>0</v>
      </c>
      <c r="AK49" s="195">
        <f t="shared" ref="AK49" si="234">IF(U48="5-ти элем",AK48,IF(U48="витрина",AK48,0))</f>
        <v>0</v>
      </c>
      <c r="AL49" s="181">
        <f t="shared" ref="AL49" si="235">IF(U48="5-ти элем",AK48,IF(U48="витрина",AK48,0))</f>
        <v>0</v>
      </c>
      <c r="AM49" s="181">
        <f t="shared" ref="AM49" si="236">IF(U48="Гладкий", 0,AK48)</f>
        <v>0</v>
      </c>
      <c r="AN49" s="196">
        <f t="shared" ref="AN49" si="237">IF(U48="Гладкий", 0,AK48)</f>
        <v>0</v>
      </c>
      <c r="AO49" s="197">
        <f t="shared" ref="AO49" si="238">IF(U48="5-ти элем","Paz 8 mm",IF(U48="витрина","Paz 4 mm",0))</f>
        <v>0</v>
      </c>
      <c r="AP49" s="172">
        <f t="shared" si="225"/>
        <v>0</v>
      </c>
      <c r="AQ49" s="168">
        <f t="shared" si="0"/>
        <v>0</v>
      </c>
      <c r="AR49" s="172"/>
      <c r="AS49" s="207" t="s">
        <v>207</v>
      </c>
      <c r="AT49" s="184"/>
      <c r="AU49" s="184"/>
      <c r="AV49" s="184"/>
      <c r="AW49" s="184"/>
      <c r="AX49" s="184"/>
      <c r="AY49" s="138"/>
    </row>
    <row r="50" spans="1:51" ht="15.75" thickBot="1" x14ac:dyDescent="0.3">
      <c r="A50" s="184"/>
      <c r="B50" s="184"/>
      <c r="C50" s="184"/>
      <c r="D50" s="184"/>
      <c r="E50" s="184"/>
      <c r="F50" s="184"/>
      <c r="G50" s="184"/>
      <c r="H50" s="184"/>
      <c r="I50" s="184"/>
      <c r="J50" s="184"/>
      <c r="K50" s="184"/>
      <c r="L50" s="184"/>
      <c r="M50" s="184"/>
      <c r="N50" s="184"/>
      <c r="O50" s="184"/>
      <c r="P50" s="184"/>
      <c r="Q50" s="323"/>
      <c r="R50" s="320"/>
      <c r="S50" s="320"/>
      <c r="T50" s="320"/>
      <c r="U50" s="320"/>
      <c r="V50" s="320"/>
      <c r="W50" s="320"/>
      <c r="X50" s="320"/>
      <c r="Y50" s="199">
        <f t="shared" ref="Y50" si="239">X48</f>
        <v>0</v>
      </c>
      <c r="Z50" s="200" t="s">
        <v>1</v>
      </c>
      <c r="AA50" s="199">
        <f t="shared" ref="AA50" si="240">IF(U48="5-ти элем",(R48-160+19),IF(U48="витрина",(R48-160+19),0))</f>
        <v>0</v>
      </c>
      <c r="AB50" s="199">
        <f t="shared" ref="AB50" si="241">IF(U48="5-ти элем",(S48-160+19),IF(U48="витрина",(S48-160+19),0))</f>
        <v>0</v>
      </c>
      <c r="AC50" s="199">
        <f t="shared" ref="AC50" si="242">IF(U48="Гладкий",0,IF(U48="3-х элем",0,T48))</f>
        <v>0</v>
      </c>
      <c r="AD50" s="199">
        <f>IF(E29="Витрина","Стекло",H29)</f>
        <v>0</v>
      </c>
      <c r="AE50" s="326"/>
      <c r="AF50" s="199"/>
      <c r="AG50" s="201">
        <f t="shared" ref="AG50" si="243">IF(Y50=8,(AA50+AB50)*2*AC50/1000,0)</f>
        <v>0</v>
      </c>
      <c r="AH50" s="201">
        <v>0</v>
      </c>
      <c r="AI50" s="199"/>
      <c r="AJ50" s="206"/>
      <c r="AK50" s="203">
        <v>0</v>
      </c>
      <c r="AL50" s="199">
        <v>0</v>
      </c>
      <c r="AM50" s="199">
        <v>0</v>
      </c>
      <c r="AN50" s="202">
        <v>0</v>
      </c>
      <c r="AO50" s="204"/>
      <c r="AP50" s="172">
        <f>IF(AD50="Стекло",0,(AA50*AB50*AC50/1000000))</f>
        <v>0</v>
      </c>
      <c r="AQ50" s="168">
        <f t="shared" si="0"/>
        <v>0</v>
      </c>
      <c r="AR50" s="172"/>
      <c r="AS50" s="207" t="s">
        <v>208</v>
      </c>
      <c r="AT50" s="184"/>
      <c r="AU50" s="184"/>
      <c r="AV50" s="184"/>
      <c r="AW50" s="184"/>
      <c r="AX50" s="184"/>
      <c r="AY50" s="138"/>
    </row>
    <row r="51" spans="1:51" ht="15.75" thickBot="1" x14ac:dyDescent="0.3">
      <c r="A51" s="184"/>
      <c r="B51" s="184"/>
      <c r="C51" s="184"/>
      <c r="D51" s="184"/>
      <c r="E51" s="184"/>
      <c r="F51" s="184"/>
      <c r="G51" s="184"/>
      <c r="H51" s="184"/>
      <c r="I51" s="184"/>
      <c r="J51" s="184"/>
      <c r="K51" s="184"/>
      <c r="L51" s="184"/>
      <c r="M51" s="184"/>
      <c r="N51" s="184"/>
      <c r="O51" s="184"/>
      <c r="P51" s="184"/>
      <c r="Q51" s="321">
        <v>17</v>
      </c>
      <c r="R51" s="318">
        <f>Бланк!B30</f>
        <v>0</v>
      </c>
      <c r="S51" s="318">
        <f>Бланк!C30</f>
        <v>0</v>
      </c>
      <c r="T51" s="318">
        <f>Бланк!D30</f>
        <v>0</v>
      </c>
      <c r="U51" s="318">
        <f>Бланк!E30</f>
        <v>0</v>
      </c>
      <c r="V51" s="318">
        <f>IF(E30="Гладкий",0,(1*D30))</f>
        <v>0</v>
      </c>
      <c r="W51" s="318">
        <f>Бланк!F30</f>
        <v>18</v>
      </c>
      <c r="X51" s="318">
        <f>Бланк!G30</f>
        <v>0</v>
      </c>
      <c r="Y51" s="185">
        <f t="shared" ref="Y51" si="244">W51</f>
        <v>18</v>
      </c>
      <c r="Z51" s="186" t="s">
        <v>14</v>
      </c>
      <c r="AA51" s="185">
        <f t="shared" ref="AA51" si="245">R51</f>
        <v>0</v>
      </c>
      <c r="AB51" s="185">
        <f>IF(U51="Гладкий",S51,164)</f>
        <v>164</v>
      </c>
      <c r="AC51" s="185">
        <f t="shared" ref="AC51" si="246">IF(AA51&gt;0,T51,0)</f>
        <v>0</v>
      </c>
      <c r="AD51" s="185">
        <f>H30</f>
        <v>0</v>
      </c>
      <c r="AE51" s="324">
        <f>IF(U51="Гладкий",0,((R51+S51)*2*T51/1000))</f>
        <v>0</v>
      </c>
      <c r="AF51" s="187">
        <f>IF(U51="Гладкий",((AA51+AB51)*2*AC51/1000),(AA51*2*AC51/1000))</f>
        <v>0</v>
      </c>
      <c r="AG51" s="187">
        <f t="shared" ref="AG51" si="247">IF(U51="5-ти элем",((AA51+AB51)*2+AA51)*AC51/1000,IF(U51="Витрина",((AA51+AB51)*2+AA51)*AC51/1000,IF(U51="3-х элем",((AA51+AB51)*2+AA51)*AC51/1000,IF(U51="Гладкий",(AA51+AB51)*2*AC51/1000,0))))</f>
        <v>0</v>
      </c>
      <c r="AH51" s="185">
        <f t="shared" ref="AH51" si="248">IF(U51="5-ти элем",(AA51*2*2*AC51/1000),IF(U51="витрина",(AA51*2*AC51/1000),0))</f>
        <v>0</v>
      </c>
      <c r="AI51" s="185">
        <f t="shared" ref="AI51" si="249">IF(U51="5-ти элем",(16*T51),IF(U51="3-х элем",(12*T51),IF(U51="витрина",(16*T51),0)))</f>
        <v>0</v>
      </c>
      <c r="AJ51" s="188">
        <f t="shared" ref="AJ51" si="250">AF51+AE51</f>
        <v>0</v>
      </c>
      <c r="AK51" s="189">
        <f t="shared" ref="AK51" si="251">AD51</f>
        <v>0</v>
      </c>
      <c r="AL51" s="185">
        <f t="shared" ref="AL51" si="252">AK51</f>
        <v>0</v>
      </c>
      <c r="AM51" s="185">
        <f t="shared" ref="AM51" si="253">IF(U51="Гладкий",AK51, 0)</f>
        <v>0</v>
      </c>
      <c r="AN51" s="190">
        <f t="shared" ref="AN51" si="254">IF(U51="Гладкий",AK51, 0)</f>
        <v>0</v>
      </c>
      <c r="AO51" s="191">
        <f t="shared" ref="AO51" si="255">IF(U51="5-ти элем","Paz 8 mm",IF(U51="витрина","Paz 4 mm",0))</f>
        <v>0</v>
      </c>
      <c r="AP51" s="172">
        <f t="shared" si="225"/>
        <v>0</v>
      </c>
      <c r="AQ51" s="168">
        <f t="shared" si="0"/>
        <v>0</v>
      </c>
      <c r="AR51" s="172">
        <f>AF51+AF52+AE51</f>
        <v>0</v>
      </c>
      <c r="AS51" s="207" t="s">
        <v>209</v>
      </c>
      <c r="AT51" s="184"/>
      <c r="AU51" s="184"/>
      <c r="AV51" s="184"/>
      <c r="AW51" s="184"/>
      <c r="AX51" s="184"/>
      <c r="AY51" s="138"/>
    </row>
    <row r="52" spans="1:51" x14ac:dyDescent="0.25">
      <c r="A52" s="184"/>
      <c r="B52" s="184"/>
      <c r="C52" s="184"/>
      <c r="D52" s="184"/>
      <c r="E52" s="184"/>
      <c r="F52" s="184"/>
      <c r="G52" s="184"/>
      <c r="H52" s="184"/>
      <c r="I52" s="184"/>
      <c r="J52" s="184"/>
      <c r="K52" s="184"/>
      <c r="L52" s="184"/>
      <c r="M52" s="184"/>
      <c r="N52" s="184"/>
      <c r="O52" s="184"/>
      <c r="P52" s="184"/>
      <c r="Q52" s="322"/>
      <c r="R52" s="319"/>
      <c r="S52" s="319"/>
      <c r="T52" s="319"/>
      <c r="U52" s="319"/>
      <c r="V52" s="319"/>
      <c r="W52" s="319"/>
      <c r="X52" s="319"/>
      <c r="Y52" s="181">
        <f t="shared" ref="Y52" si="256">W51</f>
        <v>18</v>
      </c>
      <c r="Z52" s="192" t="s">
        <v>15</v>
      </c>
      <c r="AA52" s="181">
        <f t="shared" ref="AA52" si="257">IF(U51="5-ти элем",(S51-160),IF(U51="витрина",(S51-160),IF(U51="3-х элем",(S51-160),0)))</f>
        <v>0</v>
      </c>
      <c r="AB52" s="181">
        <f t="shared" ref="AB52" si="258">IF(U51="5-ти элем",164,IF(U51="витрина",164,IF(U51="3-х элем",R51,0)))</f>
        <v>0</v>
      </c>
      <c r="AC52" s="185">
        <f t="shared" ref="AC52" si="259">IF(AA52&gt;0,T51,0)</f>
        <v>0</v>
      </c>
      <c r="AD52" s="181">
        <f>H30</f>
        <v>0</v>
      </c>
      <c r="AE52" s="325"/>
      <c r="AF52" s="193">
        <f t="shared" ref="AF52" si="260">IF(U51="3-х элем",(AB52*2*AC52/1000),IF(U51="5-ти элем",((AA52+AB52)*2*AC52/1000),IF(U51="витрина",((AA52+AB52)*2*AC52/1000),0)))</f>
        <v>0</v>
      </c>
      <c r="AG52" s="187">
        <f t="shared" ref="AG52" si="261">IF(U51="5-ти элем",((AA52+AB52)*2+AA52)*AC52/1000,IF(U51="Витрина",((AA52+AB52)*2+AA52)*AC52/1000,IF(U51="3-х элем",(AA52+AB52)*2*AC52/1000,0)))</f>
        <v>0</v>
      </c>
      <c r="AH52" s="193">
        <f t="shared" ref="AH52" si="262">IF(U51="5-ти элем",(AA52*2*2*AC52/1000),IF(U51="витрина",(AA52*2*AC52/1000),0))</f>
        <v>0</v>
      </c>
      <c r="AI52" s="181"/>
      <c r="AJ52" s="194">
        <f t="shared" ref="AJ52" si="263">AF52</f>
        <v>0</v>
      </c>
      <c r="AK52" s="195">
        <f t="shared" ref="AK52" si="264">IF(U51="5-ти элем",AK51,IF(U51="витрина",AK51,0))</f>
        <v>0</v>
      </c>
      <c r="AL52" s="181">
        <f t="shared" ref="AL52" si="265">IF(U51="5-ти элем",AK51,IF(U51="витрина",AK51,0))</f>
        <v>0</v>
      </c>
      <c r="AM52" s="181">
        <f t="shared" ref="AM52" si="266">IF(U51="Гладкий", 0,AK51)</f>
        <v>0</v>
      </c>
      <c r="AN52" s="196">
        <f t="shared" ref="AN52" si="267">IF(U51="Гладкий", 0,AK51)</f>
        <v>0</v>
      </c>
      <c r="AO52" s="197">
        <f t="shared" ref="AO52" si="268">IF(U51="5-ти элем","Paz 8 mm",IF(U51="витрина","Paz 4 mm",0))</f>
        <v>0</v>
      </c>
      <c r="AP52" s="172">
        <f t="shared" si="225"/>
        <v>0</v>
      </c>
      <c r="AQ52" s="168">
        <f t="shared" si="0"/>
        <v>0</v>
      </c>
      <c r="AR52" s="172"/>
      <c r="AS52" s="207" t="s">
        <v>210</v>
      </c>
      <c r="AT52" s="184"/>
      <c r="AU52" s="184"/>
      <c r="AV52" s="184"/>
      <c r="AW52" s="184"/>
      <c r="AX52" s="184"/>
      <c r="AY52" s="138"/>
    </row>
    <row r="53" spans="1:51" ht="15.75" thickBot="1" x14ac:dyDescent="0.3">
      <c r="A53" s="184"/>
      <c r="B53" s="184"/>
      <c r="C53" s="184"/>
      <c r="D53" s="184"/>
      <c r="E53" s="184"/>
      <c r="F53" s="184"/>
      <c r="G53" s="184"/>
      <c r="H53" s="184"/>
      <c r="I53" s="184"/>
      <c r="J53" s="184"/>
      <c r="K53" s="184"/>
      <c r="L53" s="184"/>
      <c r="M53" s="184"/>
      <c r="N53" s="184"/>
      <c r="O53" s="184"/>
      <c r="P53" s="184"/>
      <c r="Q53" s="323"/>
      <c r="R53" s="320"/>
      <c r="S53" s="320"/>
      <c r="T53" s="320"/>
      <c r="U53" s="320"/>
      <c r="V53" s="320"/>
      <c r="W53" s="320"/>
      <c r="X53" s="320"/>
      <c r="Y53" s="199">
        <f t="shared" ref="Y53" si="269">X51</f>
        <v>0</v>
      </c>
      <c r="Z53" s="200" t="s">
        <v>1</v>
      </c>
      <c r="AA53" s="199">
        <f t="shared" ref="AA53" si="270">IF(U51="5-ти элем",(R51-160+19),IF(U51="витрина",(R51-160+19),0))</f>
        <v>0</v>
      </c>
      <c r="AB53" s="199">
        <f t="shared" ref="AB53" si="271">IF(U51="5-ти элем",(S51-160+19),IF(U51="витрина",(S51-160+19),0))</f>
        <v>0</v>
      </c>
      <c r="AC53" s="199">
        <f t="shared" ref="AC53" si="272">IF(U51="Гладкий",0,IF(U51="3-х элем",0,T51))</f>
        <v>0</v>
      </c>
      <c r="AD53" s="199">
        <f>IF(E30="Витрина","Стекло",H30)</f>
        <v>0</v>
      </c>
      <c r="AE53" s="326"/>
      <c r="AF53" s="199"/>
      <c r="AG53" s="201">
        <f t="shared" ref="AG53" si="273">IF(Y53=8,(AA53+AB53)*2*AC53/1000,0)</f>
        <v>0</v>
      </c>
      <c r="AH53" s="201">
        <v>0</v>
      </c>
      <c r="AI53" s="199"/>
      <c r="AJ53" s="206"/>
      <c r="AK53" s="203">
        <v>0</v>
      </c>
      <c r="AL53" s="199">
        <v>0</v>
      </c>
      <c r="AM53" s="199">
        <v>0</v>
      </c>
      <c r="AN53" s="202">
        <v>0</v>
      </c>
      <c r="AO53" s="204"/>
      <c r="AP53" s="172">
        <f>IF(AD53="Стекло",0,(AA53*AB53*AC53/1000000))</f>
        <v>0</v>
      </c>
      <c r="AQ53" s="168">
        <f t="shared" si="0"/>
        <v>0</v>
      </c>
      <c r="AR53" s="172"/>
      <c r="AS53" s="207" t="s">
        <v>211</v>
      </c>
      <c r="AT53" s="184"/>
      <c r="AU53" s="184"/>
      <c r="AV53" s="184"/>
      <c r="AW53" s="184"/>
      <c r="AX53" s="184"/>
      <c r="AY53" s="138"/>
    </row>
    <row r="54" spans="1:51" ht="15.75" thickBot="1" x14ac:dyDescent="0.3">
      <c r="A54" s="184"/>
      <c r="B54" s="184"/>
      <c r="C54" s="184"/>
      <c r="D54" s="184"/>
      <c r="E54" s="184"/>
      <c r="F54" s="184"/>
      <c r="G54" s="184"/>
      <c r="H54" s="184"/>
      <c r="I54" s="184"/>
      <c r="J54" s="184"/>
      <c r="K54" s="184"/>
      <c r="L54" s="184"/>
      <c r="M54" s="184"/>
      <c r="N54" s="184"/>
      <c r="O54" s="184"/>
      <c r="P54" s="184"/>
      <c r="Q54" s="321">
        <v>18</v>
      </c>
      <c r="R54" s="318">
        <f>Бланк!B31</f>
        <v>0</v>
      </c>
      <c r="S54" s="318">
        <f>Бланк!C31</f>
        <v>0</v>
      </c>
      <c r="T54" s="318">
        <f>Бланк!D31</f>
        <v>0</v>
      </c>
      <c r="U54" s="318">
        <f>Бланк!E31</f>
        <v>0</v>
      </c>
      <c r="V54" s="318">
        <f>IF(E31="Гладкий",0,(1*D31))</f>
        <v>0</v>
      </c>
      <c r="W54" s="318">
        <f>Бланк!F31</f>
        <v>18</v>
      </c>
      <c r="X54" s="318">
        <f>Бланк!G31</f>
        <v>0</v>
      </c>
      <c r="Y54" s="185">
        <f t="shared" ref="Y54" si="274">W54</f>
        <v>18</v>
      </c>
      <c r="Z54" s="186" t="s">
        <v>14</v>
      </c>
      <c r="AA54" s="185">
        <f t="shared" ref="AA54" si="275">R54</f>
        <v>0</v>
      </c>
      <c r="AB54" s="185">
        <f>IF(U54="Гладкий",S54,164)</f>
        <v>164</v>
      </c>
      <c r="AC54" s="185">
        <f t="shared" ref="AC54" si="276">IF(AA54&gt;0,T54,0)</f>
        <v>0</v>
      </c>
      <c r="AD54" s="185">
        <f>H31</f>
        <v>0</v>
      </c>
      <c r="AE54" s="324">
        <f>IF(U54="Гладкий",0,((R54+S54)*2*T54/1000))</f>
        <v>0</v>
      </c>
      <c r="AF54" s="187">
        <f>IF(U54="Гладкий",((AA54+AB54)*2*AC54/1000),(AA54*2*AC54/1000))</f>
        <v>0</v>
      </c>
      <c r="AG54" s="187">
        <f t="shared" ref="AG54" si="277">IF(U54="5-ти элем",((AA54+AB54)*2+AA54)*AC54/1000,IF(U54="Витрина",((AA54+AB54)*2+AA54)*AC54/1000,IF(U54="3-х элем",((AA54+AB54)*2+AA54)*AC54/1000,IF(U54="Гладкий",(AA54+AB54)*2*AC54/1000,0))))</f>
        <v>0</v>
      </c>
      <c r="AH54" s="185">
        <f t="shared" ref="AH54" si="278">IF(U54="5-ти элем",(AA54*2*2*AC54/1000),IF(U54="витрина",(AA54*2*AC54/1000),0))</f>
        <v>0</v>
      </c>
      <c r="AI54" s="185">
        <f t="shared" ref="AI54" si="279">IF(U54="5-ти элем",(16*T54),IF(U54="3-х элем",(12*T54),IF(U54="витрина",(16*T54),0)))</f>
        <v>0</v>
      </c>
      <c r="AJ54" s="188">
        <f t="shared" ref="AJ54" si="280">AF54+AE54</f>
        <v>0</v>
      </c>
      <c r="AK54" s="189">
        <f t="shared" ref="AK54" si="281">AD54</f>
        <v>0</v>
      </c>
      <c r="AL54" s="185">
        <f t="shared" ref="AL54" si="282">AK54</f>
        <v>0</v>
      </c>
      <c r="AM54" s="185">
        <f t="shared" ref="AM54" si="283">IF(U54="Гладкий",AK54, 0)</f>
        <v>0</v>
      </c>
      <c r="AN54" s="190">
        <f t="shared" ref="AN54" si="284">IF(U54="Гладкий",AK54, 0)</f>
        <v>0</v>
      </c>
      <c r="AO54" s="191">
        <f t="shared" ref="AO54" si="285">IF(U54="5-ти элем","Paz 8 mm",IF(U54="витрина","Paz 4 mm",0))</f>
        <v>0</v>
      </c>
      <c r="AP54" s="172">
        <f t="shared" si="225"/>
        <v>0</v>
      </c>
      <c r="AQ54" s="168">
        <f t="shared" si="0"/>
        <v>0</v>
      </c>
      <c r="AR54" s="172">
        <f>AF54+AF55+AE54</f>
        <v>0</v>
      </c>
      <c r="AS54" s="207" t="s">
        <v>212</v>
      </c>
      <c r="AT54" s="184"/>
      <c r="AU54" s="184"/>
      <c r="AV54" s="184"/>
      <c r="AW54" s="184"/>
      <c r="AX54" s="184"/>
      <c r="AY54" s="138"/>
    </row>
    <row r="55" spans="1:51" x14ac:dyDescent="0.25">
      <c r="A55" s="184"/>
      <c r="B55" s="184"/>
      <c r="C55" s="184"/>
      <c r="D55" s="184"/>
      <c r="E55" s="184"/>
      <c r="F55" s="184"/>
      <c r="G55" s="184"/>
      <c r="H55" s="184"/>
      <c r="I55" s="184"/>
      <c r="J55" s="184"/>
      <c r="K55" s="184"/>
      <c r="L55" s="184"/>
      <c r="M55" s="184"/>
      <c r="N55" s="184"/>
      <c r="O55" s="184"/>
      <c r="P55" s="184"/>
      <c r="Q55" s="322"/>
      <c r="R55" s="319"/>
      <c r="S55" s="319"/>
      <c r="T55" s="319"/>
      <c r="U55" s="319"/>
      <c r="V55" s="319"/>
      <c r="W55" s="319"/>
      <c r="X55" s="319"/>
      <c r="Y55" s="181">
        <f t="shared" ref="Y55" si="286">W54</f>
        <v>18</v>
      </c>
      <c r="Z55" s="192" t="s">
        <v>15</v>
      </c>
      <c r="AA55" s="181">
        <f t="shared" ref="AA55" si="287">IF(U54="5-ти элем",(S54-160),IF(U54="витрина",(S54-160),IF(U54="3-х элем",(S54-160),0)))</f>
        <v>0</v>
      </c>
      <c r="AB55" s="181">
        <f t="shared" ref="AB55" si="288">IF(U54="5-ти элем",164,IF(U54="витрина",164,IF(U54="3-х элем",R54,0)))</f>
        <v>0</v>
      </c>
      <c r="AC55" s="185">
        <f t="shared" ref="AC55" si="289">IF(AA55&gt;0,T54,0)</f>
        <v>0</v>
      </c>
      <c r="AD55" s="181">
        <f>H31</f>
        <v>0</v>
      </c>
      <c r="AE55" s="325"/>
      <c r="AF55" s="193">
        <f t="shared" ref="AF55" si="290">IF(U54="3-х элем",(AB55*2*AC55/1000),IF(U54="5-ти элем",((AA55+AB55)*2*AC55/1000),IF(U54="витрина",((AA55+AB55)*2*AC55/1000),0)))</f>
        <v>0</v>
      </c>
      <c r="AG55" s="187">
        <f t="shared" ref="AG55" si="291">IF(U54="5-ти элем",((AA55+AB55)*2+AA55)*AC55/1000,IF(U54="Витрина",((AA55+AB55)*2+AA55)*AC55/1000,IF(U54="3-х элем",(AA55+AB55)*2*AC55/1000,0)))</f>
        <v>0</v>
      </c>
      <c r="AH55" s="193">
        <f t="shared" ref="AH55" si="292">IF(U54="5-ти элем",(AA55*2*2*AC55/1000),IF(U54="витрина",(AA55*2*AC55/1000),0))</f>
        <v>0</v>
      </c>
      <c r="AI55" s="181"/>
      <c r="AJ55" s="194">
        <f t="shared" ref="AJ55" si="293">AF55</f>
        <v>0</v>
      </c>
      <c r="AK55" s="195">
        <f t="shared" ref="AK55" si="294">IF(U54="5-ти элем",AK54,IF(U54="витрина",AK54,0))</f>
        <v>0</v>
      </c>
      <c r="AL55" s="181">
        <f t="shared" ref="AL55" si="295">IF(U54="5-ти элем",AK54,IF(U54="витрина",AK54,0))</f>
        <v>0</v>
      </c>
      <c r="AM55" s="181">
        <f t="shared" ref="AM55" si="296">IF(U54="Гладкий", 0,AK54)</f>
        <v>0</v>
      </c>
      <c r="AN55" s="196">
        <f t="shared" ref="AN55" si="297">IF(U54="Гладкий", 0,AK54)</f>
        <v>0</v>
      </c>
      <c r="AO55" s="197">
        <f t="shared" ref="AO55" si="298">IF(U54="5-ти элем","Paz 8 mm",IF(U54="витрина","Paz 4 mm",0))</f>
        <v>0</v>
      </c>
      <c r="AP55" s="172">
        <f t="shared" si="225"/>
        <v>0</v>
      </c>
      <c r="AQ55" s="168">
        <f t="shared" si="0"/>
        <v>0</v>
      </c>
      <c r="AR55" s="172"/>
      <c r="AS55" s="207" t="s">
        <v>213</v>
      </c>
      <c r="AT55" s="184"/>
      <c r="AU55" s="184"/>
      <c r="AV55" s="184"/>
      <c r="AW55" s="184"/>
      <c r="AX55" s="184"/>
      <c r="AY55" s="138"/>
    </row>
    <row r="56" spans="1:51" ht="15.75" thickBot="1" x14ac:dyDescent="0.3">
      <c r="A56" s="184"/>
      <c r="B56" s="184"/>
      <c r="C56" s="184"/>
      <c r="D56" s="184"/>
      <c r="E56" s="184"/>
      <c r="F56" s="184"/>
      <c r="G56" s="184"/>
      <c r="H56" s="184"/>
      <c r="I56" s="184"/>
      <c r="J56" s="184"/>
      <c r="K56" s="184"/>
      <c r="L56" s="184"/>
      <c r="M56" s="184"/>
      <c r="N56" s="184"/>
      <c r="O56" s="184"/>
      <c r="P56" s="184"/>
      <c r="Q56" s="323"/>
      <c r="R56" s="320"/>
      <c r="S56" s="320"/>
      <c r="T56" s="320"/>
      <c r="U56" s="320"/>
      <c r="V56" s="320"/>
      <c r="W56" s="320"/>
      <c r="X56" s="320"/>
      <c r="Y56" s="199">
        <f t="shared" ref="Y56" si="299">X54</f>
        <v>0</v>
      </c>
      <c r="Z56" s="200" t="s">
        <v>1</v>
      </c>
      <c r="AA56" s="199">
        <f t="shared" ref="AA56" si="300">IF(U54="5-ти элем",(R54-160+19),IF(U54="витрина",(R54-160+19),0))</f>
        <v>0</v>
      </c>
      <c r="AB56" s="199">
        <f t="shared" ref="AB56" si="301">IF(U54="5-ти элем",(S54-160+19),IF(U54="витрина",(S54-160+19),0))</f>
        <v>0</v>
      </c>
      <c r="AC56" s="199">
        <f t="shared" ref="AC56" si="302">IF(U54="Гладкий",0,IF(U54="3-х элем",0,T54))</f>
        <v>0</v>
      </c>
      <c r="AD56" s="199">
        <f>IF(E31="Витрина","Стекло",H31)</f>
        <v>0</v>
      </c>
      <c r="AE56" s="326"/>
      <c r="AF56" s="199"/>
      <c r="AG56" s="201">
        <f t="shared" ref="AG56" si="303">IF(Y56=8,(AA56+AB56)*2*AC56/1000,0)</f>
        <v>0</v>
      </c>
      <c r="AH56" s="201">
        <v>0</v>
      </c>
      <c r="AI56" s="199"/>
      <c r="AJ56" s="206"/>
      <c r="AK56" s="203">
        <v>0</v>
      </c>
      <c r="AL56" s="199">
        <v>0</v>
      </c>
      <c r="AM56" s="199">
        <v>0</v>
      </c>
      <c r="AN56" s="202">
        <v>0</v>
      </c>
      <c r="AO56" s="204"/>
      <c r="AP56" s="172">
        <f>IF(AD56="Стекло",0,(AA56*AB56*AC56/1000000))</f>
        <v>0</v>
      </c>
      <c r="AQ56" s="168">
        <f t="shared" si="0"/>
        <v>0</v>
      </c>
      <c r="AR56" s="172"/>
      <c r="AS56" s="207" t="s">
        <v>214</v>
      </c>
      <c r="AT56" s="184"/>
      <c r="AU56" s="184"/>
      <c r="AV56" s="184"/>
      <c r="AW56" s="184"/>
      <c r="AX56" s="184"/>
      <c r="AY56" s="138"/>
    </row>
    <row r="57" spans="1:51" ht="15.75" thickBot="1" x14ac:dyDescent="0.3">
      <c r="A57" s="184"/>
      <c r="B57" s="184"/>
      <c r="C57" s="184"/>
      <c r="D57" s="184"/>
      <c r="E57" s="184"/>
      <c r="F57" s="184"/>
      <c r="G57" s="184"/>
      <c r="H57" s="184"/>
      <c r="I57" s="184"/>
      <c r="J57" s="184"/>
      <c r="K57" s="184"/>
      <c r="L57" s="184"/>
      <c r="M57" s="184"/>
      <c r="N57" s="184"/>
      <c r="O57" s="184"/>
      <c r="P57" s="184"/>
      <c r="Q57" s="321">
        <v>19</v>
      </c>
      <c r="R57" s="318">
        <f>Бланк!B32</f>
        <v>0</v>
      </c>
      <c r="S57" s="318">
        <f>Бланк!C32</f>
        <v>0</v>
      </c>
      <c r="T57" s="318">
        <f>Бланк!D32</f>
        <v>0</v>
      </c>
      <c r="U57" s="318">
        <f>Бланк!E32</f>
        <v>0</v>
      </c>
      <c r="V57" s="318">
        <f>IF(E32="Гладкий",0,(1*D32))</f>
        <v>0</v>
      </c>
      <c r="W57" s="318">
        <f>Бланк!F32</f>
        <v>18</v>
      </c>
      <c r="X57" s="318">
        <f>Бланк!G32</f>
        <v>0</v>
      </c>
      <c r="Y57" s="185">
        <f t="shared" ref="Y57" si="304">W57</f>
        <v>18</v>
      </c>
      <c r="Z57" s="186" t="s">
        <v>14</v>
      </c>
      <c r="AA57" s="185">
        <f t="shared" ref="AA57" si="305">R57</f>
        <v>0</v>
      </c>
      <c r="AB57" s="185">
        <f>IF(U57="Гладкий",S57,164)</f>
        <v>164</v>
      </c>
      <c r="AC57" s="185">
        <f t="shared" ref="AC57" si="306">IF(AA57&gt;0,T57,0)</f>
        <v>0</v>
      </c>
      <c r="AD57" s="185">
        <f>H32</f>
        <v>0</v>
      </c>
      <c r="AE57" s="324">
        <f>IF(U57="Гладкий",0,((R57+S57)*2*T57/1000))</f>
        <v>0</v>
      </c>
      <c r="AF57" s="187">
        <f>IF(U57="Гладкий",((AA57+AB57)*2*AC57/1000),(AA57*2*AC57/1000))</f>
        <v>0</v>
      </c>
      <c r="AG57" s="187">
        <f t="shared" ref="AG57" si="307">IF(U57="5-ти элем",((AA57+AB57)*2+AA57)*AC57/1000,IF(U57="Витрина",((AA57+AB57)*2+AA57)*AC57/1000,IF(U57="3-х элем",((AA57+AB57)*2+AA57)*AC57/1000,IF(U57="Гладкий",(AA57+AB57)*2*AC57/1000,0))))</f>
        <v>0</v>
      </c>
      <c r="AH57" s="185">
        <f t="shared" ref="AH57" si="308">IF(U57="5-ти элем",(AA57*2*2*AC57/1000),IF(U57="витрина",(AA57*2*AC57/1000),0))</f>
        <v>0</v>
      </c>
      <c r="AI57" s="185">
        <f t="shared" ref="AI57" si="309">IF(U57="5-ти элем",(16*T57),IF(U57="3-х элем",(12*T57),IF(U57="витрина",(16*T57),0)))</f>
        <v>0</v>
      </c>
      <c r="AJ57" s="188">
        <f t="shared" ref="AJ57" si="310">AF57+AE57</f>
        <v>0</v>
      </c>
      <c r="AK57" s="189">
        <f t="shared" ref="AK57" si="311">AD57</f>
        <v>0</v>
      </c>
      <c r="AL57" s="185">
        <f t="shared" ref="AL57" si="312">AK57</f>
        <v>0</v>
      </c>
      <c r="AM57" s="185">
        <f t="shared" ref="AM57" si="313">IF(U57="Гладкий",AK57, 0)</f>
        <v>0</v>
      </c>
      <c r="AN57" s="190">
        <f t="shared" ref="AN57" si="314">IF(U57="Гладкий",AK57, 0)</f>
        <v>0</v>
      </c>
      <c r="AO57" s="191">
        <f t="shared" ref="AO57" si="315">IF(U57="5-ти элем","Paz 8 mm",IF(U57="витрина","Paz 4 mm",0))</f>
        <v>0</v>
      </c>
      <c r="AP57" s="172">
        <f t="shared" si="225"/>
        <v>0</v>
      </c>
      <c r="AQ57" s="168">
        <f t="shared" si="0"/>
        <v>0</v>
      </c>
      <c r="AR57" s="172">
        <f>AF57+AF58+AE57</f>
        <v>0</v>
      </c>
      <c r="AS57" s="207" t="s">
        <v>215</v>
      </c>
      <c r="AT57" s="184"/>
      <c r="AU57" s="184"/>
      <c r="AV57" s="184"/>
      <c r="AW57" s="184"/>
      <c r="AX57" s="184"/>
      <c r="AY57" s="138"/>
    </row>
    <row r="58" spans="1:51" x14ac:dyDescent="0.25">
      <c r="A58" s="184"/>
      <c r="B58" s="184"/>
      <c r="C58" s="184"/>
      <c r="D58" s="184"/>
      <c r="E58" s="184"/>
      <c r="F58" s="184"/>
      <c r="G58" s="184"/>
      <c r="H58" s="184"/>
      <c r="I58" s="184"/>
      <c r="J58" s="184"/>
      <c r="K58" s="184"/>
      <c r="L58" s="184"/>
      <c r="M58" s="184"/>
      <c r="N58" s="184"/>
      <c r="O58" s="184"/>
      <c r="P58" s="184"/>
      <c r="Q58" s="322"/>
      <c r="R58" s="319"/>
      <c r="S58" s="319"/>
      <c r="T58" s="319"/>
      <c r="U58" s="319"/>
      <c r="V58" s="319"/>
      <c r="W58" s="319"/>
      <c r="X58" s="319"/>
      <c r="Y58" s="181">
        <f t="shared" ref="Y58" si="316">W57</f>
        <v>18</v>
      </c>
      <c r="Z58" s="192" t="s">
        <v>15</v>
      </c>
      <c r="AA58" s="181">
        <f t="shared" ref="AA58" si="317">IF(U57="5-ти элем",(S57-160),IF(U57="витрина",(S57-160),IF(U57="3-х элем",(S57-160),0)))</f>
        <v>0</v>
      </c>
      <c r="AB58" s="181">
        <f t="shared" ref="AB58" si="318">IF(U57="5-ти элем",164,IF(U57="витрина",164,IF(U57="3-х элем",R57,0)))</f>
        <v>0</v>
      </c>
      <c r="AC58" s="185">
        <f t="shared" ref="AC58" si="319">IF(AA58&gt;0,T57,0)</f>
        <v>0</v>
      </c>
      <c r="AD58" s="181">
        <f>H32</f>
        <v>0</v>
      </c>
      <c r="AE58" s="325"/>
      <c r="AF58" s="193">
        <f t="shared" ref="AF58" si="320">IF(U57="3-х элем",(AB58*2*AC58/1000),IF(U57="5-ти элем",((AA58+AB58)*2*AC58/1000),IF(U57="витрина",((AA58+AB58)*2*AC58/1000),0)))</f>
        <v>0</v>
      </c>
      <c r="AG58" s="187">
        <f t="shared" ref="AG58" si="321">IF(U57="5-ти элем",((AA58+AB58)*2+AA58)*AC58/1000,IF(U57="Витрина",((AA58+AB58)*2+AA58)*AC58/1000,IF(U57="3-х элем",(AA58+AB58)*2*AC58/1000,0)))</f>
        <v>0</v>
      </c>
      <c r="AH58" s="193">
        <f t="shared" ref="AH58" si="322">IF(U57="5-ти элем",(AA58*2*2*AC58/1000),IF(U57="витрина",(AA58*2*AC58/1000),0))</f>
        <v>0</v>
      </c>
      <c r="AI58" s="181"/>
      <c r="AJ58" s="194">
        <f t="shared" ref="AJ58" si="323">AF58</f>
        <v>0</v>
      </c>
      <c r="AK58" s="195">
        <f t="shared" ref="AK58" si="324">IF(U57="5-ти элем",AK57,IF(U57="витрина",AK57,0))</f>
        <v>0</v>
      </c>
      <c r="AL58" s="181">
        <f t="shared" ref="AL58" si="325">IF(U57="5-ти элем",AK57,IF(U57="витрина",AK57,0))</f>
        <v>0</v>
      </c>
      <c r="AM58" s="181">
        <f t="shared" ref="AM58" si="326">IF(U57="Гладкий", 0,AK57)</f>
        <v>0</v>
      </c>
      <c r="AN58" s="196">
        <f t="shared" ref="AN58" si="327">IF(U57="Гладкий", 0,AK57)</f>
        <v>0</v>
      </c>
      <c r="AO58" s="197">
        <f t="shared" ref="AO58" si="328">IF(U57="5-ти элем","Paz 8 mm",IF(U57="витрина","Paz 4 mm",0))</f>
        <v>0</v>
      </c>
      <c r="AP58" s="172">
        <f t="shared" si="225"/>
        <v>0</v>
      </c>
      <c r="AQ58" s="168">
        <f t="shared" si="0"/>
        <v>0</v>
      </c>
      <c r="AR58" s="172"/>
      <c r="AS58" s="207" t="s">
        <v>216</v>
      </c>
      <c r="AT58" s="184"/>
      <c r="AU58" s="184"/>
      <c r="AV58" s="184"/>
      <c r="AW58" s="184"/>
      <c r="AX58" s="184"/>
      <c r="AY58" s="138"/>
    </row>
    <row r="59" spans="1:51" ht="15.75" thickBot="1" x14ac:dyDescent="0.3">
      <c r="A59" s="184"/>
      <c r="B59" s="184"/>
      <c r="C59" s="184"/>
      <c r="D59" s="184"/>
      <c r="E59" s="184"/>
      <c r="F59" s="184"/>
      <c r="G59" s="184"/>
      <c r="H59" s="184"/>
      <c r="I59" s="184"/>
      <c r="J59" s="184"/>
      <c r="K59" s="184"/>
      <c r="L59" s="184"/>
      <c r="M59" s="184"/>
      <c r="N59" s="184"/>
      <c r="O59" s="184"/>
      <c r="P59" s="184"/>
      <c r="Q59" s="323"/>
      <c r="R59" s="320"/>
      <c r="S59" s="320"/>
      <c r="T59" s="320"/>
      <c r="U59" s="320"/>
      <c r="V59" s="320"/>
      <c r="W59" s="320"/>
      <c r="X59" s="320"/>
      <c r="Y59" s="199">
        <f t="shared" ref="Y59" si="329">X57</f>
        <v>0</v>
      </c>
      <c r="Z59" s="200" t="s">
        <v>1</v>
      </c>
      <c r="AA59" s="199">
        <f t="shared" ref="AA59" si="330">IF(U57="5-ти элем",(R57-160+19),IF(U57="витрина",(R57-160+19),0))</f>
        <v>0</v>
      </c>
      <c r="AB59" s="199">
        <f t="shared" ref="AB59" si="331">IF(U57="5-ти элем",(S57-160+19),IF(U57="витрина",(S57-160+19),0))</f>
        <v>0</v>
      </c>
      <c r="AC59" s="199">
        <f t="shared" ref="AC59" si="332">IF(U57="Гладкий",0,IF(U57="3-х элем",0,T57))</f>
        <v>0</v>
      </c>
      <c r="AD59" s="199">
        <f>IF(E32="Витрина","Стекло",H32)</f>
        <v>0</v>
      </c>
      <c r="AE59" s="326"/>
      <c r="AF59" s="199"/>
      <c r="AG59" s="201">
        <f t="shared" ref="AG59" si="333">IF(Y59=8,(AA59+AB59)*2*AC59/1000,0)</f>
        <v>0</v>
      </c>
      <c r="AH59" s="201">
        <v>0</v>
      </c>
      <c r="AI59" s="199"/>
      <c r="AJ59" s="206"/>
      <c r="AK59" s="203">
        <v>0</v>
      </c>
      <c r="AL59" s="199">
        <v>0</v>
      </c>
      <c r="AM59" s="199">
        <v>0</v>
      </c>
      <c r="AN59" s="202">
        <v>0</v>
      </c>
      <c r="AO59" s="204"/>
      <c r="AP59" s="172">
        <f>IF(AD59="Стекло",0,(AA59*AB59*AC59/1000000))</f>
        <v>0</v>
      </c>
      <c r="AQ59" s="168">
        <f t="shared" si="0"/>
        <v>0</v>
      </c>
      <c r="AR59" s="172"/>
      <c r="AS59" s="207" t="s">
        <v>217</v>
      </c>
      <c r="AT59" s="184"/>
      <c r="AU59" s="184"/>
      <c r="AV59" s="184"/>
      <c r="AW59" s="184"/>
      <c r="AX59" s="184"/>
      <c r="AY59" s="138"/>
    </row>
    <row r="60" spans="1:51" ht="15.75" thickBot="1" x14ac:dyDescent="0.3">
      <c r="A60" s="184"/>
      <c r="B60" s="184"/>
      <c r="C60" s="184"/>
      <c r="D60" s="184"/>
      <c r="E60" s="184"/>
      <c r="F60" s="184"/>
      <c r="G60" s="184"/>
      <c r="H60" s="184"/>
      <c r="I60" s="184"/>
      <c r="J60" s="184"/>
      <c r="K60" s="184"/>
      <c r="L60" s="184"/>
      <c r="M60" s="184"/>
      <c r="N60" s="184"/>
      <c r="O60" s="184"/>
      <c r="P60" s="184"/>
      <c r="Q60" s="321">
        <v>20</v>
      </c>
      <c r="R60" s="318">
        <f>Бланк!B33</f>
        <v>0</v>
      </c>
      <c r="S60" s="318">
        <f>Бланк!C33</f>
        <v>0</v>
      </c>
      <c r="T60" s="318">
        <f>Бланк!D33</f>
        <v>0</v>
      </c>
      <c r="U60" s="318">
        <f>Бланк!E33</f>
        <v>0</v>
      </c>
      <c r="V60" s="318">
        <f>IF(E33="Гладкий",0,(1*D33))</f>
        <v>0</v>
      </c>
      <c r="W60" s="318">
        <f>Бланк!F33</f>
        <v>18</v>
      </c>
      <c r="X60" s="318">
        <f>Бланк!G33</f>
        <v>0</v>
      </c>
      <c r="Y60" s="185">
        <f t="shared" ref="Y60" si="334">W60</f>
        <v>18</v>
      </c>
      <c r="Z60" s="186" t="s">
        <v>14</v>
      </c>
      <c r="AA60" s="185">
        <f t="shared" ref="AA60" si="335">R60</f>
        <v>0</v>
      </c>
      <c r="AB60" s="185">
        <f>IF(U60="Гладкий",S60,164)</f>
        <v>164</v>
      </c>
      <c r="AC60" s="185">
        <f t="shared" ref="AC60" si="336">IF(AA60&gt;0,T60,0)</f>
        <v>0</v>
      </c>
      <c r="AD60" s="185">
        <f>H33</f>
        <v>0</v>
      </c>
      <c r="AE60" s="324">
        <f>IF(U60="Гладкий",0,((R60+S60)*2*T60/1000))</f>
        <v>0</v>
      </c>
      <c r="AF60" s="187">
        <f>IF(U60="Гладкий",((AA60+AB60)*2*AC60/1000),(AA60*2*AC60/1000))</f>
        <v>0</v>
      </c>
      <c r="AG60" s="187">
        <f t="shared" ref="AG60" si="337">IF(U60="5-ти элем",((AA60+AB60)*2+AA60)*AC60/1000,IF(U60="Витрина",((AA60+AB60)*2+AA60)*AC60/1000,IF(U60="3-х элем",((AA60+AB60)*2+AA60)*AC60/1000,IF(U60="Гладкий",(AA60+AB60)*2*AC60/1000,0))))</f>
        <v>0</v>
      </c>
      <c r="AH60" s="185">
        <f t="shared" ref="AH60" si="338">IF(U60="5-ти элем",(AA60*2*2*AC60/1000),IF(U60="витрина",(AA60*2*AC60/1000),0))</f>
        <v>0</v>
      </c>
      <c r="AI60" s="185">
        <f t="shared" ref="AI60" si="339">IF(U60="5-ти элем",(16*T60),IF(U60="3-х элем",(12*T60),IF(U60="витрина",(16*T60),0)))</f>
        <v>0</v>
      </c>
      <c r="AJ60" s="188">
        <f t="shared" ref="AJ60" si="340">AF60+AE60</f>
        <v>0</v>
      </c>
      <c r="AK60" s="189">
        <f t="shared" ref="AK60" si="341">AD60</f>
        <v>0</v>
      </c>
      <c r="AL60" s="185">
        <f t="shared" ref="AL60" si="342">AK60</f>
        <v>0</v>
      </c>
      <c r="AM60" s="185">
        <f t="shared" ref="AM60" si="343">IF(U60="Гладкий",AK60, 0)</f>
        <v>0</v>
      </c>
      <c r="AN60" s="190">
        <f t="shared" ref="AN60" si="344">IF(U60="Гладкий",AK60, 0)</f>
        <v>0</v>
      </c>
      <c r="AO60" s="191">
        <f t="shared" ref="AO60" si="345">IF(U60="5-ти элем","Paz 8 mm",IF(U60="витрина","Paz 4 mm",0))</f>
        <v>0</v>
      </c>
      <c r="AP60" s="172">
        <f t="shared" si="225"/>
        <v>0</v>
      </c>
      <c r="AQ60" s="168">
        <f t="shared" si="0"/>
        <v>0</v>
      </c>
      <c r="AR60" s="172">
        <f>AF60+AF61+AE60</f>
        <v>0</v>
      </c>
      <c r="AS60" s="207" t="s">
        <v>218</v>
      </c>
      <c r="AT60" s="184"/>
      <c r="AU60" s="184"/>
      <c r="AV60" s="184"/>
      <c r="AW60" s="184"/>
      <c r="AX60" s="184"/>
      <c r="AY60" s="138"/>
    </row>
    <row r="61" spans="1:51" x14ac:dyDescent="0.25">
      <c r="A61" s="184"/>
      <c r="B61" s="184"/>
      <c r="C61" s="184"/>
      <c r="D61" s="184"/>
      <c r="E61" s="184"/>
      <c r="F61" s="184"/>
      <c r="G61" s="184"/>
      <c r="H61" s="184"/>
      <c r="I61" s="184"/>
      <c r="J61" s="184"/>
      <c r="K61" s="184"/>
      <c r="L61" s="184"/>
      <c r="M61" s="184"/>
      <c r="N61" s="184"/>
      <c r="O61" s="184"/>
      <c r="P61" s="184"/>
      <c r="Q61" s="322"/>
      <c r="R61" s="319"/>
      <c r="S61" s="319"/>
      <c r="T61" s="319"/>
      <c r="U61" s="319"/>
      <c r="V61" s="319"/>
      <c r="W61" s="319"/>
      <c r="X61" s="319"/>
      <c r="Y61" s="181">
        <f t="shared" ref="Y61" si="346">W60</f>
        <v>18</v>
      </c>
      <c r="Z61" s="192" t="s">
        <v>15</v>
      </c>
      <c r="AA61" s="181">
        <f t="shared" ref="AA61" si="347">IF(U60="5-ти элем",(S60-160),IF(U60="витрина",(S60-160),IF(U60="3-х элем",(S60-160),0)))</f>
        <v>0</v>
      </c>
      <c r="AB61" s="181">
        <f t="shared" ref="AB61" si="348">IF(U60="5-ти элем",164,IF(U60="витрина",164,IF(U60="3-х элем",R60,0)))</f>
        <v>0</v>
      </c>
      <c r="AC61" s="185">
        <f t="shared" ref="AC61" si="349">IF(AA61&gt;0,T60,0)</f>
        <v>0</v>
      </c>
      <c r="AD61" s="181">
        <f>H33</f>
        <v>0</v>
      </c>
      <c r="AE61" s="325"/>
      <c r="AF61" s="193">
        <f t="shared" ref="AF61" si="350">IF(U60="3-х элем",(AB61*2*AC61/1000),IF(U60="5-ти элем",((AA61+AB61)*2*AC61/1000),IF(U60="витрина",((AA61+AB61)*2*AC61/1000),0)))</f>
        <v>0</v>
      </c>
      <c r="AG61" s="187">
        <f t="shared" ref="AG61" si="351">IF(U60="5-ти элем",((AA61+AB61)*2+AA61)*AC61/1000,IF(U60="Витрина",((AA61+AB61)*2+AA61)*AC61/1000,IF(U60="3-х элем",(AA61+AB61)*2*AC61/1000,0)))</f>
        <v>0</v>
      </c>
      <c r="AH61" s="193">
        <f t="shared" ref="AH61" si="352">IF(U60="5-ти элем",(AA61*2*2*AC61/1000),IF(U60="витрина",(AA61*2*AC61/1000),0))</f>
        <v>0</v>
      </c>
      <c r="AI61" s="181"/>
      <c r="AJ61" s="194">
        <f t="shared" ref="AJ61" si="353">AF61</f>
        <v>0</v>
      </c>
      <c r="AK61" s="195">
        <f t="shared" ref="AK61" si="354">IF(U60="5-ти элем",AK60,IF(U60="витрина",AK60,0))</f>
        <v>0</v>
      </c>
      <c r="AL61" s="181">
        <f t="shared" ref="AL61" si="355">IF(U60="5-ти элем",AK60,IF(U60="витрина",AK60,0))</f>
        <v>0</v>
      </c>
      <c r="AM61" s="181">
        <f t="shared" ref="AM61" si="356">IF(U60="Гладкий", 0,AK60)</f>
        <v>0</v>
      </c>
      <c r="AN61" s="196">
        <f t="shared" ref="AN61" si="357">IF(U60="Гладкий", 0,AK60)</f>
        <v>0</v>
      </c>
      <c r="AO61" s="197">
        <f t="shared" ref="AO61" si="358">IF(U60="5-ти элем","Paz 8 mm",IF(U60="витрина","Paz 4 mm",0))</f>
        <v>0</v>
      </c>
      <c r="AP61" s="172">
        <f t="shared" si="225"/>
        <v>0</v>
      </c>
      <c r="AQ61" s="168">
        <f t="shared" si="0"/>
        <v>0</v>
      </c>
      <c r="AR61" s="172"/>
      <c r="AS61" s="207" t="s">
        <v>219</v>
      </c>
      <c r="AT61" s="184"/>
      <c r="AU61" s="184"/>
      <c r="AV61" s="184"/>
      <c r="AW61" s="184"/>
      <c r="AX61" s="184"/>
      <c r="AY61" s="138"/>
    </row>
    <row r="62" spans="1:51" ht="15.75" thickBot="1" x14ac:dyDescent="0.3">
      <c r="A62" s="184"/>
      <c r="B62" s="184"/>
      <c r="C62" s="184"/>
      <c r="D62" s="184"/>
      <c r="E62" s="184"/>
      <c r="F62" s="184"/>
      <c r="G62" s="184"/>
      <c r="H62" s="184"/>
      <c r="I62" s="184"/>
      <c r="J62" s="184"/>
      <c r="K62" s="184"/>
      <c r="L62" s="184"/>
      <c r="M62" s="184"/>
      <c r="N62" s="184"/>
      <c r="O62" s="184"/>
      <c r="P62" s="184"/>
      <c r="Q62" s="323"/>
      <c r="R62" s="320"/>
      <c r="S62" s="320"/>
      <c r="T62" s="320"/>
      <c r="U62" s="320"/>
      <c r="V62" s="320"/>
      <c r="W62" s="320"/>
      <c r="X62" s="320"/>
      <c r="Y62" s="199">
        <f t="shared" ref="Y62" si="359">X60</f>
        <v>0</v>
      </c>
      <c r="Z62" s="200" t="s">
        <v>1</v>
      </c>
      <c r="AA62" s="199">
        <f t="shared" ref="AA62" si="360">IF(U60="5-ти элем",(R60-160+19),IF(U60="витрина",(R60-160+19),0))</f>
        <v>0</v>
      </c>
      <c r="AB62" s="199">
        <f t="shared" ref="AB62" si="361">IF(U60="5-ти элем",(S60-160+19),IF(U60="витрина",(S60-160+19),0))</f>
        <v>0</v>
      </c>
      <c r="AC62" s="199">
        <f t="shared" ref="AC62" si="362">IF(U60="Гладкий",0,IF(U60="3-х элем",0,T60))</f>
        <v>0</v>
      </c>
      <c r="AD62" s="199">
        <f>IF(E33="Витрина","Стекло",H33)</f>
        <v>0</v>
      </c>
      <c r="AE62" s="326"/>
      <c r="AF62" s="199"/>
      <c r="AG62" s="201">
        <f t="shared" ref="AG62" si="363">IF(Y62=8,(AA62+AB62)*2*AC62/1000,0)</f>
        <v>0</v>
      </c>
      <c r="AH62" s="201">
        <v>0</v>
      </c>
      <c r="AI62" s="199"/>
      <c r="AJ62" s="206"/>
      <c r="AK62" s="203">
        <v>0</v>
      </c>
      <c r="AL62" s="199">
        <v>0</v>
      </c>
      <c r="AM62" s="199">
        <v>0</v>
      </c>
      <c r="AN62" s="202">
        <v>0</v>
      </c>
      <c r="AO62" s="204"/>
      <c r="AP62" s="172">
        <f>IF(AD62="Стекло",0,(AA62*AB62*AC62/1000000))</f>
        <v>0</v>
      </c>
      <c r="AQ62" s="168">
        <f t="shared" si="0"/>
        <v>0</v>
      </c>
      <c r="AR62" s="172"/>
      <c r="AS62" s="207" t="s">
        <v>220</v>
      </c>
      <c r="AT62" s="184"/>
      <c r="AU62" s="184"/>
      <c r="AV62" s="184"/>
      <c r="AW62" s="184"/>
      <c r="AX62" s="184"/>
      <c r="AY62" s="138"/>
    </row>
    <row r="63" spans="1:51" ht="15.75" thickBot="1" x14ac:dyDescent="0.3">
      <c r="A63" s="184"/>
      <c r="B63" s="184"/>
      <c r="C63" s="184"/>
      <c r="D63" s="184"/>
      <c r="E63" s="184"/>
      <c r="F63" s="184"/>
      <c r="G63" s="184"/>
      <c r="H63" s="184"/>
      <c r="I63" s="184"/>
      <c r="J63" s="184"/>
      <c r="K63" s="184"/>
      <c r="L63" s="184"/>
      <c r="M63" s="184"/>
      <c r="N63" s="184"/>
      <c r="O63" s="184"/>
      <c r="P63" s="184"/>
      <c r="Q63" s="321">
        <v>21</v>
      </c>
      <c r="R63" s="318">
        <f>Бланк!B34</f>
        <v>0</v>
      </c>
      <c r="S63" s="318">
        <f>Бланк!C34</f>
        <v>0</v>
      </c>
      <c r="T63" s="318">
        <f>Бланк!D34</f>
        <v>0</v>
      </c>
      <c r="U63" s="318">
        <f>Бланк!E34</f>
        <v>0</v>
      </c>
      <c r="V63" s="318">
        <f>IF(E34="Гладкий",0,(1*D34))</f>
        <v>0</v>
      </c>
      <c r="W63" s="318">
        <f>Бланк!F34</f>
        <v>18</v>
      </c>
      <c r="X63" s="318">
        <f>Бланк!G34</f>
        <v>0</v>
      </c>
      <c r="Y63" s="185">
        <f t="shared" ref="Y63" si="364">W63</f>
        <v>18</v>
      </c>
      <c r="Z63" s="186" t="s">
        <v>14</v>
      </c>
      <c r="AA63" s="185">
        <f t="shared" ref="AA63" si="365">R63</f>
        <v>0</v>
      </c>
      <c r="AB63" s="185">
        <f>IF(U63="Гладкий",S63,164)</f>
        <v>164</v>
      </c>
      <c r="AC63" s="185">
        <f t="shared" ref="AC63" si="366">IF(AA63&gt;0,T63,0)</f>
        <v>0</v>
      </c>
      <c r="AD63" s="185">
        <f>H34</f>
        <v>0</v>
      </c>
      <c r="AE63" s="324">
        <f>IF(U63="Гладкий",0,((R63+S63)*2*T63/1000))</f>
        <v>0</v>
      </c>
      <c r="AF63" s="187">
        <f>IF(U63="Гладкий",((AA63+AB63)*2*AC63/1000),(AA63*2*AC63/1000))</f>
        <v>0</v>
      </c>
      <c r="AG63" s="187">
        <f t="shared" ref="AG63" si="367">IF(U63="5-ти элем",((AA63+AB63)*2+AA63)*AC63/1000,IF(U63="Витрина",((AA63+AB63)*2+AA63)*AC63/1000,IF(U63="3-х элем",((AA63+AB63)*2+AA63)*AC63/1000,IF(U63="Гладкий",(AA63+AB63)*2*AC63/1000,0))))</f>
        <v>0</v>
      </c>
      <c r="AH63" s="185">
        <f t="shared" ref="AH63" si="368">IF(U63="5-ти элем",(AA63*2*2*AC63/1000),IF(U63="витрина",(AA63*2*AC63/1000),0))</f>
        <v>0</v>
      </c>
      <c r="AI63" s="185">
        <f t="shared" ref="AI63" si="369">IF(U63="5-ти элем",(16*T63),IF(U63="3-х элем",(12*T63),IF(U63="витрина",(16*T63),0)))</f>
        <v>0</v>
      </c>
      <c r="AJ63" s="188">
        <f t="shared" ref="AJ63" si="370">AF63+AE63</f>
        <v>0</v>
      </c>
      <c r="AK63" s="189">
        <f t="shared" ref="AK63" si="371">AD63</f>
        <v>0</v>
      </c>
      <c r="AL63" s="185">
        <f t="shared" ref="AL63" si="372">AK63</f>
        <v>0</v>
      </c>
      <c r="AM63" s="185">
        <f t="shared" ref="AM63" si="373">IF(U63="Гладкий",AK63, 0)</f>
        <v>0</v>
      </c>
      <c r="AN63" s="190">
        <f t="shared" ref="AN63" si="374">IF(U63="Гладкий",AK63, 0)</f>
        <v>0</v>
      </c>
      <c r="AO63" s="191">
        <f t="shared" ref="AO63" si="375">IF(U63="5-ти элем","Paz 8 mm",IF(U63="витрина","Paz 4 mm",0))</f>
        <v>0</v>
      </c>
      <c r="AP63" s="172">
        <f t="shared" si="225"/>
        <v>0</v>
      </c>
      <c r="AQ63" s="168">
        <f t="shared" si="0"/>
        <v>0</v>
      </c>
      <c r="AR63" s="172">
        <f>AF63+AF64+AE63</f>
        <v>0</v>
      </c>
      <c r="AS63" s="207" t="s">
        <v>221</v>
      </c>
      <c r="AT63" s="184"/>
      <c r="AU63" s="184"/>
      <c r="AV63" s="184"/>
      <c r="AW63" s="184"/>
      <c r="AX63" s="184"/>
      <c r="AY63" s="138"/>
    </row>
    <row r="64" spans="1:51" x14ac:dyDescent="0.25">
      <c r="A64" s="184"/>
      <c r="B64" s="184"/>
      <c r="C64" s="184"/>
      <c r="D64" s="184"/>
      <c r="E64" s="184"/>
      <c r="F64" s="184"/>
      <c r="G64" s="184"/>
      <c r="H64" s="184"/>
      <c r="I64" s="184"/>
      <c r="J64" s="184"/>
      <c r="K64" s="184"/>
      <c r="L64" s="184"/>
      <c r="M64" s="184"/>
      <c r="N64" s="184"/>
      <c r="O64" s="184"/>
      <c r="P64" s="184"/>
      <c r="Q64" s="322"/>
      <c r="R64" s="319"/>
      <c r="S64" s="319"/>
      <c r="T64" s="319"/>
      <c r="U64" s="319"/>
      <c r="V64" s="319"/>
      <c r="W64" s="319"/>
      <c r="X64" s="319"/>
      <c r="Y64" s="181">
        <f t="shared" ref="Y64" si="376">W63</f>
        <v>18</v>
      </c>
      <c r="Z64" s="192" t="s">
        <v>15</v>
      </c>
      <c r="AA64" s="181">
        <f t="shared" ref="AA64" si="377">IF(U63="5-ти элем",(S63-160),IF(U63="витрина",(S63-160),IF(U63="3-х элем",(S63-160),0)))</f>
        <v>0</v>
      </c>
      <c r="AB64" s="181">
        <f t="shared" ref="AB64" si="378">IF(U63="5-ти элем",164,IF(U63="витрина",164,IF(U63="3-х элем",R63,0)))</f>
        <v>0</v>
      </c>
      <c r="AC64" s="185">
        <f t="shared" ref="AC64" si="379">IF(AA64&gt;0,T63,0)</f>
        <v>0</v>
      </c>
      <c r="AD64" s="181">
        <f>H34</f>
        <v>0</v>
      </c>
      <c r="AE64" s="325"/>
      <c r="AF64" s="193">
        <f t="shared" ref="AF64" si="380">IF(U63="3-х элем",(AB64*2*AC64/1000),IF(U63="5-ти элем",((AA64+AB64)*2*AC64/1000),IF(U63="витрина",((AA64+AB64)*2*AC64/1000),0)))</f>
        <v>0</v>
      </c>
      <c r="AG64" s="187">
        <f t="shared" ref="AG64" si="381">IF(U63="5-ти элем",((AA64+AB64)*2+AA64)*AC64/1000,IF(U63="Витрина",((AA64+AB64)*2+AA64)*AC64/1000,IF(U63="3-х элем",(AA64+AB64)*2*AC64/1000,0)))</f>
        <v>0</v>
      </c>
      <c r="AH64" s="193">
        <f t="shared" ref="AH64" si="382">IF(U63="5-ти элем",(AA64*2*2*AC64/1000),IF(U63="витрина",(AA64*2*AC64/1000),0))</f>
        <v>0</v>
      </c>
      <c r="AI64" s="181"/>
      <c r="AJ64" s="194">
        <f t="shared" ref="AJ64" si="383">AF64</f>
        <v>0</v>
      </c>
      <c r="AK64" s="195">
        <f t="shared" ref="AK64" si="384">IF(U63="5-ти элем",AK63,IF(U63="витрина",AK63,0))</f>
        <v>0</v>
      </c>
      <c r="AL64" s="181">
        <f t="shared" ref="AL64" si="385">IF(U63="5-ти элем",AK63,IF(U63="витрина",AK63,0))</f>
        <v>0</v>
      </c>
      <c r="AM64" s="181">
        <f t="shared" ref="AM64" si="386">IF(U63="Гладкий", 0,AK63)</f>
        <v>0</v>
      </c>
      <c r="AN64" s="196">
        <f t="shared" ref="AN64" si="387">IF(U63="Гладкий", 0,AK63)</f>
        <v>0</v>
      </c>
      <c r="AO64" s="197">
        <f t="shared" ref="AO64" si="388">IF(U63="5-ти элем","Paz 8 mm",IF(U63="витрина","Paz 4 mm",0))</f>
        <v>0</v>
      </c>
      <c r="AP64" s="172">
        <f t="shared" si="225"/>
        <v>0</v>
      </c>
      <c r="AQ64" s="168">
        <f t="shared" si="0"/>
        <v>0</v>
      </c>
      <c r="AR64" s="172"/>
      <c r="AS64" s="207" t="s">
        <v>222</v>
      </c>
      <c r="AT64" s="184"/>
      <c r="AU64" s="184"/>
      <c r="AV64" s="184"/>
      <c r="AW64" s="184"/>
      <c r="AX64" s="184"/>
      <c r="AY64" s="138"/>
    </row>
    <row r="65" spans="1:51" ht="15.75" thickBot="1" x14ac:dyDescent="0.3">
      <c r="A65" s="184"/>
      <c r="B65" s="184"/>
      <c r="C65" s="184"/>
      <c r="D65" s="184"/>
      <c r="E65" s="184"/>
      <c r="F65" s="184"/>
      <c r="G65" s="184"/>
      <c r="H65" s="184"/>
      <c r="I65" s="184"/>
      <c r="J65" s="184"/>
      <c r="K65" s="184"/>
      <c r="L65" s="184"/>
      <c r="M65" s="184"/>
      <c r="N65" s="184"/>
      <c r="O65" s="184"/>
      <c r="P65" s="184"/>
      <c r="Q65" s="323"/>
      <c r="R65" s="320"/>
      <c r="S65" s="320"/>
      <c r="T65" s="320"/>
      <c r="U65" s="320"/>
      <c r="V65" s="320"/>
      <c r="W65" s="320"/>
      <c r="X65" s="320"/>
      <c r="Y65" s="199">
        <f t="shared" ref="Y65" si="389">X63</f>
        <v>0</v>
      </c>
      <c r="Z65" s="200" t="s">
        <v>1</v>
      </c>
      <c r="AA65" s="199">
        <f t="shared" ref="AA65" si="390">IF(U63="5-ти элем",(R63-160+19),IF(U63="витрина",(R63-160+19),0))</f>
        <v>0</v>
      </c>
      <c r="AB65" s="199">
        <f t="shared" ref="AB65" si="391">IF(U63="5-ти элем",(S63-160+19),IF(U63="витрина",(S63-160+19),0))</f>
        <v>0</v>
      </c>
      <c r="AC65" s="199">
        <f t="shared" ref="AC65" si="392">IF(U63="Гладкий",0,IF(U63="3-х элем",0,T63))</f>
        <v>0</v>
      </c>
      <c r="AD65" s="199">
        <f>IF(E34="Витрина","Стекло",H34)</f>
        <v>0</v>
      </c>
      <c r="AE65" s="326"/>
      <c r="AF65" s="199"/>
      <c r="AG65" s="201">
        <f t="shared" ref="AG65" si="393">IF(Y65=8,(AA65+AB65)*2*AC65/1000,0)</f>
        <v>0</v>
      </c>
      <c r="AH65" s="201">
        <v>0</v>
      </c>
      <c r="AI65" s="199"/>
      <c r="AJ65" s="206"/>
      <c r="AK65" s="203">
        <v>0</v>
      </c>
      <c r="AL65" s="199">
        <v>0</v>
      </c>
      <c r="AM65" s="199">
        <v>0</v>
      </c>
      <c r="AN65" s="202">
        <v>0</v>
      </c>
      <c r="AO65" s="204"/>
      <c r="AP65" s="172">
        <f>IF(AD65="Стекло",0,(AA65*AB65*AC65/1000000))</f>
        <v>0</v>
      </c>
      <c r="AQ65" s="168">
        <f t="shared" si="0"/>
        <v>0</v>
      </c>
      <c r="AR65" s="172"/>
      <c r="AS65" s="207" t="s">
        <v>223</v>
      </c>
      <c r="AT65" s="184"/>
      <c r="AU65" s="184"/>
      <c r="AV65" s="184"/>
      <c r="AW65" s="184"/>
      <c r="AX65" s="184"/>
      <c r="AY65" s="138"/>
    </row>
    <row r="66" spans="1:51" ht="15.75" thickBot="1" x14ac:dyDescent="0.3">
      <c r="A66" s="184"/>
      <c r="B66" s="184"/>
      <c r="C66" s="184"/>
      <c r="D66" s="184"/>
      <c r="E66" s="184"/>
      <c r="F66" s="184"/>
      <c r="G66" s="184"/>
      <c r="H66" s="184"/>
      <c r="I66" s="184"/>
      <c r="J66" s="184"/>
      <c r="K66" s="184"/>
      <c r="L66" s="184"/>
      <c r="M66" s="184"/>
      <c r="N66" s="184"/>
      <c r="O66" s="184"/>
      <c r="P66" s="184"/>
      <c r="Q66" s="321">
        <v>22</v>
      </c>
      <c r="R66" s="318">
        <f>Бланк!B35</f>
        <v>0</v>
      </c>
      <c r="S66" s="318">
        <f>Бланк!C35</f>
        <v>0</v>
      </c>
      <c r="T66" s="318">
        <f>Бланк!D35</f>
        <v>0</v>
      </c>
      <c r="U66" s="318">
        <f>Бланк!E35</f>
        <v>0</v>
      </c>
      <c r="V66" s="318">
        <f>IF(E35="Гладкий",0,(1*D35))</f>
        <v>0</v>
      </c>
      <c r="W66" s="318">
        <f>Бланк!F35</f>
        <v>18</v>
      </c>
      <c r="X66" s="318">
        <f>Бланк!G35</f>
        <v>0</v>
      </c>
      <c r="Y66" s="185">
        <f t="shared" ref="Y66" si="394">W66</f>
        <v>18</v>
      </c>
      <c r="Z66" s="186" t="s">
        <v>14</v>
      </c>
      <c r="AA66" s="185">
        <f t="shared" ref="AA66" si="395">R66</f>
        <v>0</v>
      </c>
      <c r="AB66" s="185">
        <f>IF(U66="Гладкий",S66,164)</f>
        <v>164</v>
      </c>
      <c r="AC66" s="185">
        <f t="shared" ref="AC66" si="396">IF(AA66&gt;0,T66,0)</f>
        <v>0</v>
      </c>
      <c r="AD66" s="185">
        <f>H35</f>
        <v>0</v>
      </c>
      <c r="AE66" s="324">
        <f>IF(U66="Гладкий",0,((R66+S66)*2*T66/1000))</f>
        <v>0</v>
      </c>
      <c r="AF66" s="187">
        <f>IF(U66="Гладкий",((AA66+AB66)*2*AC66/1000),(AA66*2*AC66/1000))</f>
        <v>0</v>
      </c>
      <c r="AG66" s="187">
        <f t="shared" ref="AG66" si="397">IF(U66="5-ти элем",((AA66+AB66)*2+AA66)*AC66/1000,IF(U66="Витрина",((AA66+AB66)*2+AA66)*AC66/1000,IF(U66="3-х элем",((AA66+AB66)*2+AA66)*AC66/1000,IF(U66="Гладкий",(AA66+AB66)*2*AC66/1000,0))))</f>
        <v>0</v>
      </c>
      <c r="AH66" s="185">
        <f t="shared" ref="AH66" si="398">IF(U66="5-ти элем",(AA66*2*2*AC66/1000),IF(U66="витрина",(AA66*2*AC66/1000),0))</f>
        <v>0</v>
      </c>
      <c r="AI66" s="185">
        <f t="shared" ref="AI66" si="399">IF(U66="5-ти элем",(16*T66),IF(U66="3-х элем",(12*T66),IF(U66="витрина",(16*T66),0)))</f>
        <v>0</v>
      </c>
      <c r="AJ66" s="188">
        <f t="shared" ref="AJ66" si="400">AF66+AE66</f>
        <v>0</v>
      </c>
      <c r="AK66" s="189">
        <f t="shared" ref="AK66" si="401">AD66</f>
        <v>0</v>
      </c>
      <c r="AL66" s="185">
        <f t="shared" ref="AL66" si="402">AK66</f>
        <v>0</v>
      </c>
      <c r="AM66" s="185">
        <f t="shared" ref="AM66" si="403">IF(U66="Гладкий",AK66, 0)</f>
        <v>0</v>
      </c>
      <c r="AN66" s="190">
        <f t="shared" ref="AN66" si="404">IF(U66="Гладкий",AK66, 0)</f>
        <v>0</v>
      </c>
      <c r="AO66" s="191">
        <f t="shared" ref="AO66" si="405">IF(U66="5-ти элем","Paz 8 mm",IF(U66="витрина","Paz 4 mm",0))</f>
        <v>0</v>
      </c>
      <c r="AP66" s="172">
        <f t="shared" si="225"/>
        <v>0</v>
      </c>
      <c r="AQ66" s="168">
        <f t="shared" si="0"/>
        <v>0</v>
      </c>
      <c r="AR66" s="172">
        <f>AF66+AF67+AE66</f>
        <v>0</v>
      </c>
      <c r="AS66" s="207" t="s">
        <v>224</v>
      </c>
      <c r="AT66" s="184"/>
      <c r="AU66" s="184"/>
      <c r="AV66" s="184"/>
      <c r="AW66" s="184"/>
      <c r="AX66" s="184"/>
      <c r="AY66" s="138"/>
    </row>
    <row r="67" spans="1:51" x14ac:dyDescent="0.25">
      <c r="A67" s="184"/>
      <c r="B67" s="184"/>
      <c r="C67" s="184"/>
      <c r="D67" s="184"/>
      <c r="E67" s="184"/>
      <c r="F67" s="184"/>
      <c r="G67" s="184"/>
      <c r="H67" s="184"/>
      <c r="I67" s="184"/>
      <c r="J67" s="184"/>
      <c r="K67" s="184"/>
      <c r="L67" s="184"/>
      <c r="M67" s="184"/>
      <c r="N67" s="184"/>
      <c r="O67" s="184"/>
      <c r="P67" s="184"/>
      <c r="Q67" s="322"/>
      <c r="R67" s="319"/>
      <c r="S67" s="319"/>
      <c r="T67" s="319"/>
      <c r="U67" s="319"/>
      <c r="V67" s="319"/>
      <c r="W67" s="319"/>
      <c r="X67" s="319"/>
      <c r="Y67" s="181">
        <f t="shared" ref="Y67" si="406">W66</f>
        <v>18</v>
      </c>
      <c r="Z67" s="192" t="s">
        <v>15</v>
      </c>
      <c r="AA67" s="181">
        <f t="shared" ref="AA67" si="407">IF(U66="5-ти элем",(S66-160),IF(U66="витрина",(S66-160),IF(U66="3-х элем",(S66-160),0)))</f>
        <v>0</v>
      </c>
      <c r="AB67" s="181">
        <f t="shared" ref="AB67" si="408">IF(U66="5-ти элем",164,IF(U66="витрина",164,IF(U66="3-х элем",R66,0)))</f>
        <v>0</v>
      </c>
      <c r="AC67" s="185">
        <f t="shared" ref="AC67" si="409">IF(AA67&gt;0,T66,0)</f>
        <v>0</v>
      </c>
      <c r="AD67" s="181">
        <f>H35</f>
        <v>0</v>
      </c>
      <c r="AE67" s="325"/>
      <c r="AF67" s="193">
        <f t="shared" ref="AF67" si="410">IF(U66="3-х элем",(AB67*2*AC67/1000),IF(U66="5-ти элем",((AA67+AB67)*2*AC67/1000),IF(U66="витрина",((AA67+AB67)*2*AC67/1000),0)))</f>
        <v>0</v>
      </c>
      <c r="AG67" s="187">
        <f t="shared" ref="AG67" si="411">IF(U66="5-ти элем",((AA67+AB67)*2+AA67)*AC67/1000,IF(U66="Витрина",((AA67+AB67)*2+AA67)*AC67/1000,IF(U66="3-х элем",(AA67+AB67)*2*AC67/1000,0)))</f>
        <v>0</v>
      </c>
      <c r="AH67" s="193">
        <f t="shared" ref="AH67" si="412">IF(U66="5-ти элем",(AA67*2*2*AC67/1000),IF(U66="витрина",(AA67*2*AC67/1000),0))</f>
        <v>0</v>
      </c>
      <c r="AI67" s="181"/>
      <c r="AJ67" s="194">
        <f t="shared" ref="AJ67" si="413">AF67</f>
        <v>0</v>
      </c>
      <c r="AK67" s="195">
        <f t="shared" ref="AK67" si="414">IF(U66="5-ти элем",AK66,IF(U66="витрина",AK66,0))</f>
        <v>0</v>
      </c>
      <c r="AL67" s="181">
        <f t="shared" ref="AL67" si="415">IF(U66="5-ти элем",AK66,IF(U66="витрина",AK66,0))</f>
        <v>0</v>
      </c>
      <c r="AM67" s="181">
        <f t="shared" ref="AM67" si="416">IF(U66="Гладкий", 0,AK66)</f>
        <v>0</v>
      </c>
      <c r="AN67" s="196">
        <f t="shared" ref="AN67" si="417">IF(U66="Гладкий", 0,AK66)</f>
        <v>0</v>
      </c>
      <c r="AO67" s="197">
        <f t="shared" ref="AO67" si="418">IF(U66="5-ти элем","Paz 8 mm",IF(U66="витрина","Paz 4 mm",0))</f>
        <v>0</v>
      </c>
      <c r="AP67" s="172">
        <f t="shared" si="225"/>
        <v>0</v>
      </c>
      <c r="AQ67" s="168">
        <f t="shared" si="0"/>
        <v>0</v>
      </c>
      <c r="AR67" s="172"/>
      <c r="AS67" s="207" t="s">
        <v>225</v>
      </c>
      <c r="AT67" s="184"/>
      <c r="AU67" s="184"/>
      <c r="AV67" s="184"/>
      <c r="AW67" s="184"/>
      <c r="AX67" s="184"/>
      <c r="AY67" s="138"/>
    </row>
    <row r="68" spans="1:51" ht="15.75" thickBot="1" x14ac:dyDescent="0.3">
      <c r="A68" s="184"/>
      <c r="B68" s="184"/>
      <c r="C68" s="184"/>
      <c r="D68" s="184"/>
      <c r="E68" s="184"/>
      <c r="F68" s="184"/>
      <c r="G68" s="184"/>
      <c r="H68" s="184"/>
      <c r="I68" s="184"/>
      <c r="J68" s="184"/>
      <c r="K68" s="184"/>
      <c r="L68" s="184"/>
      <c r="M68" s="184"/>
      <c r="N68" s="184"/>
      <c r="O68" s="184"/>
      <c r="P68" s="184"/>
      <c r="Q68" s="323"/>
      <c r="R68" s="320"/>
      <c r="S68" s="320"/>
      <c r="T68" s="320"/>
      <c r="U68" s="320"/>
      <c r="V68" s="320"/>
      <c r="W68" s="320"/>
      <c r="X68" s="320"/>
      <c r="Y68" s="199">
        <f t="shared" ref="Y68" si="419">X66</f>
        <v>0</v>
      </c>
      <c r="Z68" s="200" t="s">
        <v>1</v>
      </c>
      <c r="AA68" s="199">
        <f t="shared" ref="AA68" si="420">IF(U66="5-ти элем",(R66-160+19),IF(U66="витрина",(R66-160+19),0))</f>
        <v>0</v>
      </c>
      <c r="AB68" s="199">
        <f t="shared" ref="AB68" si="421">IF(U66="5-ти элем",(S66-160+19),IF(U66="витрина",(S66-160+19),0))</f>
        <v>0</v>
      </c>
      <c r="AC68" s="199">
        <f t="shared" ref="AC68" si="422">IF(U66="Гладкий",0,IF(U66="3-х элем",0,T66))</f>
        <v>0</v>
      </c>
      <c r="AD68" s="199">
        <f>IF(E35="Витрина","Стекло",H35)</f>
        <v>0</v>
      </c>
      <c r="AE68" s="326"/>
      <c r="AF68" s="199"/>
      <c r="AG68" s="201">
        <f t="shared" ref="AG68" si="423">IF(Y68=8,(AA68+AB68)*2*AC68/1000,0)</f>
        <v>0</v>
      </c>
      <c r="AH68" s="201">
        <v>0</v>
      </c>
      <c r="AI68" s="199"/>
      <c r="AJ68" s="206"/>
      <c r="AK68" s="203">
        <v>0</v>
      </c>
      <c r="AL68" s="199">
        <v>0</v>
      </c>
      <c r="AM68" s="199">
        <v>0</v>
      </c>
      <c r="AN68" s="202">
        <v>0</v>
      </c>
      <c r="AO68" s="204"/>
      <c r="AP68" s="172">
        <f>IF(AD68="Стекло",0,(AA68*AB68*AC68/1000000))</f>
        <v>0</v>
      </c>
      <c r="AQ68" s="168">
        <f t="shared" ref="AQ68:AQ89" si="424">AD68</f>
        <v>0</v>
      </c>
      <c r="AR68" s="172"/>
      <c r="AS68" s="207" t="s">
        <v>226</v>
      </c>
      <c r="AT68" s="184"/>
      <c r="AU68" s="184"/>
      <c r="AV68" s="184"/>
      <c r="AW68" s="184"/>
      <c r="AX68" s="184"/>
      <c r="AY68" s="138"/>
    </row>
    <row r="69" spans="1:51" ht="15.75" thickBot="1" x14ac:dyDescent="0.3">
      <c r="A69" s="184"/>
      <c r="B69" s="184"/>
      <c r="C69" s="184"/>
      <c r="D69" s="184"/>
      <c r="E69" s="184"/>
      <c r="F69" s="184"/>
      <c r="G69" s="184"/>
      <c r="H69" s="184"/>
      <c r="I69" s="184"/>
      <c r="J69" s="184"/>
      <c r="K69" s="184"/>
      <c r="L69" s="184"/>
      <c r="M69" s="184"/>
      <c r="N69" s="184"/>
      <c r="O69" s="184"/>
      <c r="P69" s="184"/>
      <c r="Q69" s="321">
        <v>23</v>
      </c>
      <c r="R69" s="318">
        <f>Бланк!B36</f>
        <v>0</v>
      </c>
      <c r="S69" s="318">
        <f>Бланк!C36</f>
        <v>0</v>
      </c>
      <c r="T69" s="318">
        <f>Бланк!D36</f>
        <v>0</v>
      </c>
      <c r="U69" s="318">
        <f>Бланк!E36</f>
        <v>0</v>
      </c>
      <c r="V69" s="318">
        <f>IF(E36="Гладкий",0,(1*D36))</f>
        <v>0</v>
      </c>
      <c r="W69" s="318">
        <f>Бланк!F36</f>
        <v>18</v>
      </c>
      <c r="X69" s="318">
        <f>Бланк!G36</f>
        <v>0</v>
      </c>
      <c r="Y69" s="185">
        <f t="shared" ref="Y69" si="425">W69</f>
        <v>18</v>
      </c>
      <c r="Z69" s="186" t="s">
        <v>14</v>
      </c>
      <c r="AA69" s="185">
        <f t="shared" ref="AA69" si="426">R69</f>
        <v>0</v>
      </c>
      <c r="AB69" s="185">
        <f>IF(U69="Гладкий",S69,164)</f>
        <v>164</v>
      </c>
      <c r="AC69" s="185">
        <f t="shared" ref="AC69" si="427">IF(AA69&gt;0,T69,0)</f>
        <v>0</v>
      </c>
      <c r="AD69" s="185">
        <f>H36</f>
        <v>0</v>
      </c>
      <c r="AE69" s="324">
        <f>IF(U69="Гладкий",0,((R69+S69)*2*T69/1000))</f>
        <v>0</v>
      </c>
      <c r="AF69" s="187">
        <f>IF(U69="Гладкий",((AA69+AB69)*2*AC69/1000),(AA69*2*AC69/1000))</f>
        <v>0</v>
      </c>
      <c r="AG69" s="187">
        <f t="shared" ref="AG69" si="428">IF(U69="5-ти элем",((AA69+AB69)*2+AA69)*AC69/1000,IF(U69="Витрина",((AA69+AB69)*2+AA69)*AC69/1000,IF(U69="3-х элем",((AA69+AB69)*2+AA69)*AC69/1000,IF(U69="Гладкий",(AA69+AB69)*2*AC69/1000,0))))</f>
        <v>0</v>
      </c>
      <c r="AH69" s="185">
        <f t="shared" ref="AH69" si="429">IF(U69="5-ти элем",(AA69*2*2*AC69/1000),IF(U69="витрина",(AA69*2*AC69/1000),0))</f>
        <v>0</v>
      </c>
      <c r="AI69" s="185">
        <f t="shared" ref="AI69" si="430">IF(U69="5-ти элем",(16*T69),IF(U69="3-х элем",(12*T69),IF(U69="витрина",(16*T69),0)))</f>
        <v>0</v>
      </c>
      <c r="AJ69" s="188">
        <f t="shared" ref="AJ69" si="431">AF69+AE69</f>
        <v>0</v>
      </c>
      <c r="AK69" s="189">
        <f t="shared" ref="AK69" si="432">AD69</f>
        <v>0</v>
      </c>
      <c r="AL69" s="185">
        <f t="shared" ref="AL69" si="433">AK69</f>
        <v>0</v>
      </c>
      <c r="AM69" s="185">
        <f t="shared" ref="AM69" si="434">IF(U69="Гладкий",AK69, 0)</f>
        <v>0</v>
      </c>
      <c r="AN69" s="190">
        <f t="shared" ref="AN69" si="435">IF(U69="Гладкий",AK69, 0)</f>
        <v>0</v>
      </c>
      <c r="AO69" s="191">
        <f t="shared" ref="AO69" si="436">IF(U69="5-ти элем","Paz 8 mm",IF(U69="витрина","Paz 4 mm",0))</f>
        <v>0</v>
      </c>
      <c r="AP69" s="172">
        <f t="shared" si="225"/>
        <v>0</v>
      </c>
      <c r="AQ69" s="168">
        <f t="shared" si="424"/>
        <v>0</v>
      </c>
      <c r="AR69" s="172">
        <f>AF69+AF70+AE69</f>
        <v>0</v>
      </c>
      <c r="AS69" s="207" t="s">
        <v>227</v>
      </c>
      <c r="AT69" s="184"/>
      <c r="AU69" s="184"/>
      <c r="AV69" s="184"/>
      <c r="AW69" s="184"/>
      <c r="AX69" s="184"/>
      <c r="AY69" s="138"/>
    </row>
    <row r="70" spans="1:51" x14ac:dyDescent="0.25">
      <c r="A70" s="184"/>
      <c r="B70" s="184"/>
      <c r="C70" s="184"/>
      <c r="D70" s="184"/>
      <c r="E70" s="184"/>
      <c r="F70" s="184"/>
      <c r="G70" s="184"/>
      <c r="H70" s="184"/>
      <c r="I70" s="184"/>
      <c r="J70" s="184"/>
      <c r="K70" s="184"/>
      <c r="L70" s="184"/>
      <c r="M70" s="184"/>
      <c r="N70" s="184"/>
      <c r="O70" s="184"/>
      <c r="P70" s="184"/>
      <c r="Q70" s="322"/>
      <c r="R70" s="319"/>
      <c r="S70" s="319"/>
      <c r="T70" s="319"/>
      <c r="U70" s="319"/>
      <c r="V70" s="319"/>
      <c r="W70" s="319"/>
      <c r="X70" s="319"/>
      <c r="Y70" s="181">
        <f t="shared" ref="Y70" si="437">W69</f>
        <v>18</v>
      </c>
      <c r="Z70" s="192" t="s">
        <v>15</v>
      </c>
      <c r="AA70" s="181">
        <f t="shared" ref="AA70" si="438">IF(U69="5-ти элем",(S69-160),IF(U69="витрина",(S69-160),IF(U69="3-х элем",(S69-160),0)))</f>
        <v>0</v>
      </c>
      <c r="AB70" s="181">
        <f t="shared" ref="AB70" si="439">IF(U69="5-ти элем",164,IF(U69="витрина",164,IF(U69="3-х элем",R69,0)))</f>
        <v>0</v>
      </c>
      <c r="AC70" s="185">
        <f t="shared" ref="AC70" si="440">IF(AA70&gt;0,T69,0)</f>
        <v>0</v>
      </c>
      <c r="AD70" s="181">
        <f>H36</f>
        <v>0</v>
      </c>
      <c r="AE70" s="325"/>
      <c r="AF70" s="193">
        <f t="shared" ref="AF70" si="441">IF(U69="3-х элем",(AB70*2*AC70/1000),IF(U69="5-ти элем",((AA70+AB70)*2*AC70/1000),IF(U69="витрина",((AA70+AB70)*2*AC70/1000),0)))</f>
        <v>0</v>
      </c>
      <c r="AG70" s="187">
        <f t="shared" ref="AG70" si="442">IF(U69="5-ти элем",((AA70+AB70)*2+AA70)*AC70/1000,IF(U69="Витрина",((AA70+AB70)*2+AA70)*AC70/1000,IF(U69="3-х элем",(AA70+AB70)*2*AC70/1000,0)))</f>
        <v>0</v>
      </c>
      <c r="AH70" s="193">
        <f t="shared" ref="AH70" si="443">IF(U69="5-ти элем",(AA70*2*2*AC70/1000),IF(U69="витрина",(AA70*2*AC70/1000),0))</f>
        <v>0</v>
      </c>
      <c r="AI70" s="181"/>
      <c r="AJ70" s="194">
        <f t="shared" ref="AJ70" si="444">AF70</f>
        <v>0</v>
      </c>
      <c r="AK70" s="195">
        <f t="shared" ref="AK70" si="445">IF(U69="5-ти элем",AK69,IF(U69="витрина",AK69,0))</f>
        <v>0</v>
      </c>
      <c r="AL70" s="181">
        <f t="shared" ref="AL70" si="446">IF(U69="5-ти элем",AK69,IF(U69="витрина",AK69,0))</f>
        <v>0</v>
      </c>
      <c r="AM70" s="181">
        <f t="shared" ref="AM70" si="447">IF(U69="Гладкий", 0,AK69)</f>
        <v>0</v>
      </c>
      <c r="AN70" s="196">
        <f t="shared" ref="AN70" si="448">IF(U69="Гладкий", 0,AK69)</f>
        <v>0</v>
      </c>
      <c r="AO70" s="197">
        <f t="shared" ref="AO70" si="449">IF(U69="5-ти элем","Paz 8 mm",IF(U69="витрина","Paz 4 mm",0))</f>
        <v>0</v>
      </c>
      <c r="AP70" s="172">
        <f t="shared" si="225"/>
        <v>0</v>
      </c>
      <c r="AQ70" s="168">
        <f t="shared" si="424"/>
        <v>0</v>
      </c>
      <c r="AR70" s="172"/>
      <c r="AS70" s="207" t="s">
        <v>228</v>
      </c>
      <c r="AT70" s="184"/>
      <c r="AU70" s="184"/>
      <c r="AV70" s="184"/>
      <c r="AW70" s="184"/>
      <c r="AX70" s="184"/>
      <c r="AY70" s="138"/>
    </row>
    <row r="71" spans="1:51" ht="15.75" thickBot="1" x14ac:dyDescent="0.3">
      <c r="A71" s="184"/>
      <c r="B71" s="184"/>
      <c r="C71" s="184"/>
      <c r="D71" s="184"/>
      <c r="E71" s="184"/>
      <c r="F71" s="184"/>
      <c r="G71" s="184"/>
      <c r="H71" s="184"/>
      <c r="I71" s="184"/>
      <c r="J71" s="184"/>
      <c r="K71" s="184"/>
      <c r="L71" s="184"/>
      <c r="M71" s="184"/>
      <c r="N71" s="184"/>
      <c r="O71" s="184"/>
      <c r="P71" s="184"/>
      <c r="Q71" s="323"/>
      <c r="R71" s="320"/>
      <c r="S71" s="320"/>
      <c r="T71" s="320"/>
      <c r="U71" s="320"/>
      <c r="V71" s="320"/>
      <c r="W71" s="320"/>
      <c r="X71" s="320"/>
      <c r="Y71" s="199">
        <f t="shared" ref="Y71" si="450">X69</f>
        <v>0</v>
      </c>
      <c r="Z71" s="200" t="s">
        <v>1</v>
      </c>
      <c r="AA71" s="199">
        <f t="shared" ref="AA71" si="451">IF(U69="5-ти элем",(R69-160+19),IF(U69="витрина",(R69-160+19),0))</f>
        <v>0</v>
      </c>
      <c r="AB71" s="199">
        <f t="shared" ref="AB71" si="452">IF(U69="5-ти элем",(S69-160+19),IF(U69="витрина",(S69-160+19),0))</f>
        <v>0</v>
      </c>
      <c r="AC71" s="199">
        <f t="shared" ref="AC71" si="453">IF(U69="Гладкий",0,IF(U69="3-х элем",0,T69))</f>
        <v>0</v>
      </c>
      <c r="AD71" s="199">
        <f>IF(E36="Витрина","Стекло",H36)</f>
        <v>0</v>
      </c>
      <c r="AE71" s="326"/>
      <c r="AF71" s="199"/>
      <c r="AG71" s="201">
        <f t="shared" ref="AG71" si="454">IF(Y71=8,(AA71+AB71)*2*AC71/1000,0)</f>
        <v>0</v>
      </c>
      <c r="AH71" s="201">
        <v>0</v>
      </c>
      <c r="AI71" s="199"/>
      <c r="AJ71" s="206"/>
      <c r="AK71" s="203">
        <v>0</v>
      </c>
      <c r="AL71" s="199">
        <v>0</v>
      </c>
      <c r="AM71" s="199">
        <v>0</v>
      </c>
      <c r="AN71" s="202">
        <v>0</v>
      </c>
      <c r="AO71" s="204"/>
      <c r="AP71" s="172">
        <f>IF(AD71="Стекло",0,(AA71*AB71*AC71/1000000))</f>
        <v>0</v>
      </c>
      <c r="AQ71" s="168">
        <f t="shared" si="424"/>
        <v>0</v>
      </c>
      <c r="AR71" s="172"/>
      <c r="AS71" s="207" t="s">
        <v>229</v>
      </c>
      <c r="AT71" s="184"/>
      <c r="AU71" s="184"/>
      <c r="AV71" s="184"/>
      <c r="AW71" s="184"/>
      <c r="AX71" s="184"/>
      <c r="AY71" s="138"/>
    </row>
    <row r="72" spans="1:51" ht="15.75" thickBot="1" x14ac:dyDescent="0.3">
      <c r="A72" s="184"/>
      <c r="B72" s="184"/>
      <c r="C72" s="184"/>
      <c r="D72" s="184"/>
      <c r="E72" s="184"/>
      <c r="F72" s="184"/>
      <c r="G72" s="184"/>
      <c r="H72" s="184"/>
      <c r="I72" s="184"/>
      <c r="J72" s="184"/>
      <c r="K72" s="184"/>
      <c r="L72" s="184"/>
      <c r="M72" s="184"/>
      <c r="N72" s="184"/>
      <c r="O72" s="184"/>
      <c r="P72" s="184"/>
      <c r="Q72" s="321">
        <v>24</v>
      </c>
      <c r="R72" s="318">
        <f>Бланк!B37</f>
        <v>0</v>
      </c>
      <c r="S72" s="318">
        <f>Бланк!C37</f>
        <v>0</v>
      </c>
      <c r="T72" s="318">
        <f>Бланк!D37</f>
        <v>0</v>
      </c>
      <c r="U72" s="318">
        <f>Бланк!E37</f>
        <v>0</v>
      </c>
      <c r="V72" s="318">
        <f>IF(E37="Гладкий",0,(1*D37))</f>
        <v>0</v>
      </c>
      <c r="W72" s="318">
        <f>Бланк!F37</f>
        <v>18</v>
      </c>
      <c r="X72" s="318">
        <f>Бланк!G37</f>
        <v>0</v>
      </c>
      <c r="Y72" s="185">
        <f t="shared" ref="Y72" si="455">W72</f>
        <v>18</v>
      </c>
      <c r="Z72" s="186" t="s">
        <v>14</v>
      </c>
      <c r="AA72" s="185">
        <f t="shared" ref="AA72" si="456">R72</f>
        <v>0</v>
      </c>
      <c r="AB72" s="185">
        <f>IF(U72="Гладкий",S72,164)</f>
        <v>164</v>
      </c>
      <c r="AC72" s="185">
        <f t="shared" ref="AC72" si="457">IF(AA72&gt;0,T72,0)</f>
        <v>0</v>
      </c>
      <c r="AD72" s="185">
        <f>H37</f>
        <v>0</v>
      </c>
      <c r="AE72" s="324">
        <f>IF(U72="Гладкий",0,((R72+S72)*2*T72/1000))</f>
        <v>0</v>
      </c>
      <c r="AF72" s="187">
        <f>IF(U72="Гладкий",((AA72+AB72)*2*AC72/1000),(AA72*2*AC72/1000))</f>
        <v>0</v>
      </c>
      <c r="AG72" s="187">
        <f t="shared" ref="AG72" si="458">IF(U72="5-ти элем",((AA72+AB72)*2+AA72)*AC72/1000,IF(U72="Витрина",((AA72+AB72)*2+AA72)*AC72/1000,IF(U72="3-х элем",((AA72+AB72)*2+AA72)*AC72/1000,IF(U72="Гладкий",(AA72+AB72)*2*AC72/1000,0))))</f>
        <v>0</v>
      </c>
      <c r="AH72" s="185">
        <f t="shared" ref="AH72" si="459">IF(U72="5-ти элем",(AA72*2*2*AC72/1000),IF(U72="витрина",(AA72*2*AC72/1000),0))</f>
        <v>0</v>
      </c>
      <c r="AI72" s="185">
        <f t="shared" ref="AI72" si="460">IF(U72="5-ти элем",(16*T72),IF(U72="3-х элем",(12*T72),IF(U72="витрина",(16*T72),0)))</f>
        <v>0</v>
      </c>
      <c r="AJ72" s="188">
        <f t="shared" ref="AJ72" si="461">AF72+AE72</f>
        <v>0</v>
      </c>
      <c r="AK72" s="189">
        <f t="shared" ref="AK72" si="462">AD72</f>
        <v>0</v>
      </c>
      <c r="AL72" s="185">
        <f t="shared" ref="AL72" si="463">AK72</f>
        <v>0</v>
      </c>
      <c r="AM72" s="185">
        <f t="shared" ref="AM72" si="464">IF(U72="Гладкий",AK72, 0)</f>
        <v>0</v>
      </c>
      <c r="AN72" s="190">
        <f t="shared" ref="AN72" si="465">IF(U72="Гладкий",AK72, 0)</f>
        <v>0</v>
      </c>
      <c r="AO72" s="191">
        <f t="shared" ref="AO72" si="466">IF(U72="5-ти элем","Paz 8 mm",IF(U72="витрина","Paz 4 mm",0))</f>
        <v>0</v>
      </c>
      <c r="AP72" s="172">
        <f t="shared" si="225"/>
        <v>0</v>
      </c>
      <c r="AQ72" s="168">
        <f t="shared" si="424"/>
        <v>0</v>
      </c>
      <c r="AR72" s="172">
        <f>AF72+AF73+AE72</f>
        <v>0</v>
      </c>
      <c r="AS72" s="207" t="s">
        <v>230</v>
      </c>
      <c r="AT72" s="184"/>
      <c r="AU72" s="184"/>
      <c r="AV72" s="184"/>
      <c r="AW72" s="184"/>
      <c r="AX72" s="184"/>
      <c r="AY72" s="138"/>
    </row>
    <row r="73" spans="1:51" x14ac:dyDescent="0.25">
      <c r="A73" s="184"/>
      <c r="B73" s="184"/>
      <c r="C73" s="184"/>
      <c r="D73" s="184"/>
      <c r="E73" s="184"/>
      <c r="F73" s="184"/>
      <c r="G73" s="184"/>
      <c r="H73" s="184"/>
      <c r="I73" s="184"/>
      <c r="J73" s="184"/>
      <c r="K73" s="184"/>
      <c r="L73" s="184"/>
      <c r="M73" s="184"/>
      <c r="N73" s="184"/>
      <c r="O73" s="184"/>
      <c r="P73" s="184"/>
      <c r="Q73" s="322"/>
      <c r="R73" s="319"/>
      <c r="S73" s="319"/>
      <c r="T73" s="319"/>
      <c r="U73" s="319"/>
      <c r="V73" s="319"/>
      <c r="W73" s="319"/>
      <c r="X73" s="319"/>
      <c r="Y73" s="181">
        <f t="shared" ref="Y73" si="467">W72</f>
        <v>18</v>
      </c>
      <c r="Z73" s="192" t="s">
        <v>15</v>
      </c>
      <c r="AA73" s="181">
        <f t="shared" ref="AA73" si="468">IF(U72="5-ти элем",(S72-160),IF(U72="витрина",(S72-160),IF(U72="3-х элем",(S72-160),0)))</f>
        <v>0</v>
      </c>
      <c r="AB73" s="181">
        <f t="shared" ref="AB73" si="469">IF(U72="5-ти элем",164,IF(U72="витрина",164,IF(U72="3-х элем",R72,0)))</f>
        <v>0</v>
      </c>
      <c r="AC73" s="185">
        <f t="shared" ref="AC73" si="470">IF(AA73&gt;0,T72,0)</f>
        <v>0</v>
      </c>
      <c r="AD73" s="181">
        <f>H37</f>
        <v>0</v>
      </c>
      <c r="AE73" s="325"/>
      <c r="AF73" s="193">
        <f t="shared" ref="AF73" si="471">IF(U72="3-х элем",(AB73*2*AC73/1000),IF(U72="5-ти элем",((AA73+AB73)*2*AC73/1000),IF(U72="витрина",((AA73+AB73)*2*AC73/1000),0)))</f>
        <v>0</v>
      </c>
      <c r="AG73" s="187">
        <f t="shared" ref="AG73" si="472">IF(U72="5-ти элем",((AA73+AB73)*2+AA73)*AC73/1000,IF(U72="Витрина",((AA73+AB73)*2+AA73)*AC73/1000,IF(U72="3-х элем",(AA73+AB73)*2*AC73/1000,0)))</f>
        <v>0</v>
      </c>
      <c r="AH73" s="193">
        <f t="shared" ref="AH73" si="473">IF(U72="5-ти элем",(AA73*2*2*AC73/1000),IF(U72="витрина",(AA73*2*AC73/1000),0))</f>
        <v>0</v>
      </c>
      <c r="AI73" s="181"/>
      <c r="AJ73" s="194">
        <f t="shared" ref="AJ73" si="474">AF73</f>
        <v>0</v>
      </c>
      <c r="AK73" s="195">
        <f t="shared" ref="AK73" si="475">IF(U72="5-ти элем",AK72,IF(U72="витрина",AK72,0))</f>
        <v>0</v>
      </c>
      <c r="AL73" s="181">
        <f t="shared" ref="AL73" si="476">IF(U72="5-ти элем",AK72,IF(U72="витрина",AK72,0))</f>
        <v>0</v>
      </c>
      <c r="AM73" s="181">
        <f t="shared" ref="AM73" si="477">IF(U72="Гладкий", 0,AK72)</f>
        <v>0</v>
      </c>
      <c r="AN73" s="196">
        <f t="shared" ref="AN73" si="478">IF(U72="Гладкий", 0,AK72)</f>
        <v>0</v>
      </c>
      <c r="AO73" s="197">
        <f t="shared" ref="AO73" si="479">IF(U72="5-ти элем","Paz 8 mm",IF(U72="витрина","Paz 4 mm",0))</f>
        <v>0</v>
      </c>
      <c r="AP73" s="172">
        <f t="shared" si="225"/>
        <v>0</v>
      </c>
      <c r="AQ73" s="168">
        <f t="shared" si="424"/>
        <v>0</v>
      </c>
      <c r="AR73" s="172"/>
      <c r="AS73" s="207" t="s">
        <v>231</v>
      </c>
      <c r="AT73" s="184"/>
      <c r="AU73" s="184"/>
      <c r="AV73" s="184"/>
      <c r="AW73" s="184"/>
      <c r="AX73" s="184"/>
      <c r="AY73" s="138"/>
    </row>
    <row r="74" spans="1:51" ht="15.75" thickBot="1" x14ac:dyDescent="0.3">
      <c r="A74" s="184"/>
      <c r="B74" s="184"/>
      <c r="C74" s="184"/>
      <c r="D74" s="184"/>
      <c r="E74" s="184"/>
      <c r="F74" s="184"/>
      <c r="G74" s="184"/>
      <c r="H74" s="184"/>
      <c r="I74" s="184"/>
      <c r="J74" s="184"/>
      <c r="K74" s="184"/>
      <c r="L74" s="184"/>
      <c r="M74" s="184"/>
      <c r="N74" s="184"/>
      <c r="O74" s="184"/>
      <c r="P74" s="184"/>
      <c r="Q74" s="323"/>
      <c r="R74" s="320"/>
      <c r="S74" s="320"/>
      <c r="T74" s="320"/>
      <c r="U74" s="320"/>
      <c r="V74" s="320"/>
      <c r="W74" s="320"/>
      <c r="X74" s="320"/>
      <c r="Y74" s="199">
        <f t="shared" ref="Y74" si="480">X72</f>
        <v>0</v>
      </c>
      <c r="Z74" s="200" t="s">
        <v>1</v>
      </c>
      <c r="AA74" s="199">
        <f t="shared" ref="AA74" si="481">IF(U72="5-ти элем",(R72-160+19),IF(U72="витрина",(R72-160+19),0))</f>
        <v>0</v>
      </c>
      <c r="AB74" s="199">
        <f t="shared" ref="AB74" si="482">IF(U72="5-ти элем",(S72-160+19),IF(U72="витрина",(S72-160+19),0))</f>
        <v>0</v>
      </c>
      <c r="AC74" s="199">
        <f t="shared" ref="AC74" si="483">IF(U72="Гладкий",0,IF(U72="3-х элем",0,T72))</f>
        <v>0</v>
      </c>
      <c r="AD74" s="199">
        <f>IF(E37="Витрина","Стекло",H37)</f>
        <v>0</v>
      </c>
      <c r="AE74" s="326"/>
      <c r="AF74" s="199"/>
      <c r="AG74" s="201">
        <f t="shared" ref="AG74" si="484">IF(Y74=8,(AA74+AB74)*2*AC74/1000,0)</f>
        <v>0</v>
      </c>
      <c r="AH74" s="201">
        <v>0</v>
      </c>
      <c r="AI74" s="199"/>
      <c r="AJ74" s="206"/>
      <c r="AK74" s="203">
        <v>0</v>
      </c>
      <c r="AL74" s="199">
        <v>0</v>
      </c>
      <c r="AM74" s="199">
        <v>0</v>
      </c>
      <c r="AN74" s="202">
        <v>0</v>
      </c>
      <c r="AO74" s="204"/>
      <c r="AP74" s="172">
        <f>IF(AD74="Стекло",0,(AA74*AB74*AC74/1000000))</f>
        <v>0</v>
      </c>
      <c r="AQ74" s="168">
        <f t="shared" si="424"/>
        <v>0</v>
      </c>
      <c r="AR74" s="172"/>
      <c r="AS74" s="207" t="s">
        <v>232</v>
      </c>
      <c r="AT74" s="184"/>
      <c r="AU74" s="184"/>
      <c r="AV74" s="184"/>
      <c r="AW74" s="184"/>
      <c r="AX74" s="184"/>
      <c r="AY74" s="138"/>
    </row>
    <row r="75" spans="1:51" ht="15.75" thickBot="1" x14ac:dyDescent="0.3">
      <c r="A75" s="184"/>
      <c r="B75" s="184"/>
      <c r="C75" s="184"/>
      <c r="D75" s="184"/>
      <c r="E75" s="184"/>
      <c r="F75" s="184"/>
      <c r="G75" s="184"/>
      <c r="H75" s="184"/>
      <c r="I75" s="184"/>
      <c r="J75" s="184"/>
      <c r="K75" s="184"/>
      <c r="L75" s="184"/>
      <c r="M75" s="184"/>
      <c r="N75" s="184"/>
      <c r="O75" s="184"/>
      <c r="P75" s="184"/>
      <c r="Q75" s="321">
        <v>25</v>
      </c>
      <c r="R75" s="318">
        <f>Бланк!B38</f>
        <v>0</v>
      </c>
      <c r="S75" s="318">
        <f>Бланк!C38</f>
        <v>0</v>
      </c>
      <c r="T75" s="318">
        <f>Бланк!D38</f>
        <v>0</v>
      </c>
      <c r="U75" s="318">
        <f>Бланк!E38</f>
        <v>0</v>
      </c>
      <c r="V75" s="318">
        <f>IF(E38="Гладкий",0,(1*D38))</f>
        <v>0</v>
      </c>
      <c r="W75" s="318">
        <f>Бланк!F38</f>
        <v>18</v>
      </c>
      <c r="X75" s="318">
        <f>Бланк!G38</f>
        <v>0</v>
      </c>
      <c r="Y75" s="185">
        <f>W75</f>
        <v>18</v>
      </c>
      <c r="Z75" s="186" t="s">
        <v>14</v>
      </c>
      <c r="AA75" s="185">
        <f>R75</f>
        <v>0</v>
      </c>
      <c r="AB75" s="185">
        <f>IF(U75="Гладкий",S75,164)</f>
        <v>164</v>
      </c>
      <c r="AC75" s="185">
        <f t="shared" ref="AC75" si="485">IF(AA75&gt;0,T75,0)</f>
        <v>0</v>
      </c>
      <c r="AD75" s="185">
        <f>H38</f>
        <v>0</v>
      </c>
      <c r="AE75" s="324">
        <f>IF(U75="Гладкий",0,((R75+S75)*2*T75/1000))</f>
        <v>0</v>
      </c>
      <c r="AF75" s="187">
        <f>IF(U75="Гладкий",((AA75+AB75)*2*AC75/1000),(AA75*2*AC75/1000))</f>
        <v>0</v>
      </c>
      <c r="AG75" s="187">
        <f t="shared" ref="AG75" si="486">IF(U75="5-ти элем",((AA75+AB75)*2+AA75)*AC75/1000,IF(U75="Витрина",((AA75+AB75)*2+AA75)*AC75/1000,IF(U75="3-х элем",((AA75+AB75)*2+AA75)*AC75/1000,IF(U75="Гладкий",(AA75+AB75)*2*AC75/1000,0))))</f>
        <v>0</v>
      </c>
      <c r="AH75" s="185">
        <f>IF(U75="5-ти элем",(AA75*2*2*AC75/1000),IF(U75="витрина",(AA75*2*AC75/1000),0))</f>
        <v>0</v>
      </c>
      <c r="AI75" s="185">
        <f>IF(U75="5-ти элем",(16*T75),IF(U75="3-х элем",(12*T75),IF(U75="витрина",(16*T75),0)))</f>
        <v>0</v>
      </c>
      <c r="AJ75" s="188">
        <f>AF75+AE75</f>
        <v>0</v>
      </c>
      <c r="AK75" s="189">
        <f t="shared" ref="AK75" si="487">AD75</f>
        <v>0</v>
      </c>
      <c r="AL75" s="185">
        <f t="shared" ref="AL75" si="488">AK75</f>
        <v>0</v>
      </c>
      <c r="AM75" s="185">
        <f t="shared" ref="AM75" si="489">IF(U75="Гладкий",AK75, 0)</f>
        <v>0</v>
      </c>
      <c r="AN75" s="190">
        <f t="shared" ref="AN75" si="490">IF(U75="Гладкий",AK75, 0)</f>
        <v>0</v>
      </c>
      <c r="AO75" s="191">
        <f>IF(U75="5-ти элем","Paz 8 mm",IF(U75="витрина","Paz 4 mm",0))</f>
        <v>0</v>
      </c>
      <c r="AP75" s="172">
        <f t="shared" si="225"/>
        <v>0</v>
      </c>
      <c r="AQ75" s="168">
        <f t="shared" si="424"/>
        <v>0</v>
      </c>
      <c r="AR75" s="172">
        <f>AF75+AF76+AE75</f>
        <v>0</v>
      </c>
      <c r="AS75" s="207" t="s">
        <v>233</v>
      </c>
      <c r="AT75" s="184"/>
      <c r="AU75" s="184"/>
      <c r="AV75" s="184"/>
      <c r="AW75" s="184"/>
      <c r="AX75" s="184"/>
      <c r="AY75" s="138"/>
    </row>
    <row r="76" spans="1:51" x14ac:dyDescent="0.25">
      <c r="A76" s="184"/>
      <c r="B76" s="184"/>
      <c r="C76" s="184"/>
      <c r="D76" s="184"/>
      <c r="E76" s="184"/>
      <c r="F76" s="184"/>
      <c r="G76" s="184"/>
      <c r="H76" s="184"/>
      <c r="I76" s="184"/>
      <c r="J76" s="184"/>
      <c r="K76" s="184"/>
      <c r="L76" s="184"/>
      <c r="M76" s="184"/>
      <c r="N76" s="184"/>
      <c r="O76" s="184"/>
      <c r="P76" s="184"/>
      <c r="Q76" s="322"/>
      <c r="R76" s="319"/>
      <c r="S76" s="319"/>
      <c r="T76" s="319"/>
      <c r="U76" s="319"/>
      <c r="V76" s="319"/>
      <c r="W76" s="319"/>
      <c r="X76" s="319"/>
      <c r="Y76" s="181">
        <f>W75</f>
        <v>18</v>
      </c>
      <c r="Z76" s="192" t="s">
        <v>15</v>
      </c>
      <c r="AA76" s="181">
        <f>IF(U75="5-ти элем",(S75-160),IF(U75="витрина",(S75-160),IF(U75="3-х элем",(S75-160),0)))</f>
        <v>0</v>
      </c>
      <c r="AB76" s="181">
        <f>IF(U75="5-ти элем",164,IF(U75="витрина",164,IF(U75="3-х элем",R75,0)))</f>
        <v>0</v>
      </c>
      <c r="AC76" s="185">
        <f t="shared" ref="AC76" si="491">IF(AA76&gt;0,T75,0)</f>
        <v>0</v>
      </c>
      <c r="AD76" s="181">
        <f>H38</f>
        <v>0</v>
      </c>
      <c r="AE76" s="325"/>
      <c r="AF76" s="193">
        <f t="shared" ref="AF76" si="492">IF(U75="3-х элем",(AB76*2*AC76/1000),IF(U75="5-ти элем",((AA76+AB76)*2*AC76/1000),IF(U75="витрина",((AA76+AB76)*2*AC76/1000),0)))</f>
        <v>0</v>
      </c>
      <c r="AG76" s="187">
        <f t="shared" ref="AG76" si="493">IF(U75="5-ти элем",((AA76+AB76)*2+AA76)*AC76/1000,IF(U75="Витрина",((AA76+AB76)*2+AA76)*AC76/1000,IF(U75="3-х элем",(AA76+AB76)*2*AC76/1000,0)))</f>
        <v>0</v>
      </c>
      <c r="AH76" s="193">
        <f>IF(U75="5-ти элем",(AA76*2*2*AC76/1000),IF(U75="витрина",(AA76*2*AC76/1000),0))</f>
        <v>0</v>
      </c>
      <c r="AI76" s="181"/>
      <c r="AJ76" s="194">
        <f>AF76</f>
        <v>0</v>
      </c>
      <c r="AK76" s="195">
        <f t="shared" ref="AK76" si="494">IF(U75="5-ти элем",AK75,IF(U75="витрина",AK75,0))</f>
        <v>0</v>
      </c>
      <c r="AL76" s="181">
        <f t="shared" ref="AL76" si="495">IF(U75="5-ти элем",AK75,IF(U75="витрина",AK75,0))</f>
        <v>0</v>
      </c>
      <c r="AM76" s="181">
        <f t="shared" ref="AM76" si="496">IF(U75="Гладкий", 0,AK75)</f>
        <v>0</v>
      </c>
      <c r="AN76" s="196">
        <f t="shared" ref="AN76" si="497">IF(U75="Гладкий", 0,AK75)</f>
        <v>0</v>
      </c>
      <c r="AO76" s="197">
        <f>IF(U75="5-ти элем","Paz 8 mm",IF(U75="витрина","Paz 4 mm",0))</f>
        <v>0</v>
      </c>
      <c r="AP76" s="172">
        <f t="shared" si="225"/>
        <v>0</v>
      </c>
      <c r="AQ76" s="168">
        <f t="shared" si="424"/>
        <v>0</v>
      </c>
      <c r="AR76" s="172"/>
      <c r="AS76" s="207" t="s">
        <v>234</v>
      </c>
      <c r="AT76" s="184"/>
      <c r="AU76" s="184"/>
      <c r="AV76" s="184"/>
      <c r="AW76" s="184"/>
      <c r="AX76" s="184"/>
      <c r="AY76" s="138"/>
    </row>
    <row r="77" spans="1:51" ht="15.75" thickBot="1" x14ac:dyDescent="0.3">
      <c r="A77" s="184"/>
      <c r="B77" s="184"/>
      <c r="C77" s="184"/>
      <c r="D77" s="184"/>
      <c r="E77" s="184"/>
      <c r="F77" s="184"/>
      <c r="G77" s="184"/>
      <c r="H77" s="184"/>
      <c r="I77" s="184"/>
      <c r="J77" s="184"/>
      <c r="K77" s="184"/>
      <c r="L77" s="184"/>
      <c r="M77" s="184"/>
      <c r="N77" s="184"/>
      <c r="O77" s="184"/>
      <c r="P77" s="184"/>
      <c r="Q77" s="323"/>
      <c r="R77" s="320"/>
      <c r="S77" s="320"/>
      <c r="T77" s="320"/>
      <c r="U77" s="320"/>
      <c r="V77" s="320"/>
      <c r="W77" s="320"/>
      <c r="X77" s="320"/>
      <c r="Y77" s="199">
        <f>X75</f>
        <v>0</v>
      </c>
      <c r="Z77" s="200" t="s">
        <v>1</v>
      </c>
      <c r="AA77" s="199">
        <f>IF(U75="5-ти элем",(R75-160+19),IF(U75="витрина",(R75-160+19),0))</f>
        <v>0</v>
      </c>
      <c r="AB77" s="199">
        <f>IF(U75="5-ти элем",(S75-160+19),IF(U75="витрина",(S75-160+19),0))</f>
        <v>0</v>
      </c>
      <c r="AC77" s="199">
        <f t="shared" ref="AC77" si="498">IF(U75="Гладкий",0,IF(U75="3-х элем",0,T75))</f>
        <v>0</v>
      </c>
      <c r="AD77" s="199">
        <f>IF(E38="Витрина","Стекло",H38)</f>
        <v>0</v>
      </c>
      <c r="AE77" s="326"/>
      <c r="AF77" s="199"/>
      <c r="AG77" s="201">
        <f t="shared" ref="AG77" si="499">IF(Y77=8,(AA77+AB77)*2*AC77/1000,0)</f>
        <v>0</v>
      </c>
      <c r="AH77" s="201">
        <v>0</v>
      </c>
      <c r="AI77" s="199"/>
      <c r="AJ77" s="206"/>
      <c r="AK77" s="203">
        <v>0</v>
      </c>
      <c r="AL77" s="199">
        <v>0</v>
      </c>
      <c r="AM77" s="199">
        <v>0</v>
      </c>
      <c r="AN77" s="202">
        <v>0</v>
      </c>
      <c r="AO77" s="204"/>
      <c r="AP77" s="172">
        <f>IF(AD77="Стекло",0,(AA77*AB77*AC77/1000000))</f>
        <v>0</v>
      </c>
      <c r="AQ77" s="168">
        <f t="shared" si="424"/>
        <v>0</v>
      </c>
      <c r="AR77" s="172"/>
      <c r="AS77" s="207" t="s">
        <v>235</v>
      </c>
      <c r="AT77" s="184"/>
      <c r="AU77" s="184"/>
      <c r="AV77" s="184"/>
      <c r="AW77" s="184"/>
      <c r="AX77" s="184"/>
      <c r="AY77" s="138"/>
    </row>
    <row r="78" spans="1:51" ht="15.75" thickBot="1" x14ac:dyDescent="0.3">
      <c r="A78" s="184"/>
      <c r="B78" s="184"/>
      <c r="C78" s="184"/>
      <c r="D78" s="184"/>
      <c r="E78" s="184"/>
      <c r="F78" s="184"/>
      <c r="G78" s="184"/>
      <c r="H78" s="184"/>
      <c r="I78" s="184"/>
      <c r="J78" s="184"/>
      <c r="K78" s="184"/>
      <c r="L78" s="184"/>
      <c r="M78" s="184"/>
      <c r="N78" s="184"/>
      <c r="O78" s="184"/>
      <c r="P78" s="184"/>
      <c r="Q78" s="321">
        <v>26</v>
      </c>
      <c r="R78" s="318">
        <f>Бланк!B39</f>
        <v>0</v>
      </c>
      <c r="S78" s="318">
        <f>Бланк!C39</f>
        <v>0</v>
      </c>
      <c r="T78" s="318">
        <f>Бланк!D39</f>
        <v>0</v>
      </c>
      <c r="U78" s="318">
        <f>Бланк!E39</f>
        <v>0</v>
      </c>
      <c r="V78" s="318">
        <f>IF(E39="Гладкий",0,(1*D39))</f>
        <v>0</v>
      </c>
      <c r="W78" s="318">
        <f>Бланк!F39</f>
        <v>18</v>
      </c>
      <c r="X78" s="318">
        <f>Бланк!G39</f>
        <v>0</v>
      </c>
      <c r="Y78" s="185">
        <f>W78</f>
        <v>18</v>
      </c>
      <c r="Z78" s="186" t="s">
        <v>14</v>
      </c>
      <c r="AA78" s="185">
        <f>R78</f>
        <v>0</v>
      </c>
      <c r="AB78" s="185">
        <f>IF(U78="Гладкий",S78,164)</f>
        <v>164</v>
      </c>
      <c r="AC78" s="185">
        <f t="shared" ref="AC78" si="500">IF(AA78&gt;0,T78,0)</f>
        <v>0</v>
      </c>
      <c r="AD78" s="185">
        <f>H39</f>
        <v>0</v>
      </c>
      <c r="AE78" s="324">
        <f>IF(U78="Гладкий",0,((R78+S78)*2*T78/1000))</f>
        <v>0</v>
      </c>
      <c r="AF78" s="187">
        <f>IF(U78="Гладкий",((AA78+AB78)*2*AC78/1000),(AA78*2*AC78/1000))</f>
        <v>0</v>
      </c>
      <c r="AG78" s="187">
        <f t="shared" ref="AG78" si="501">IF(U78="5-ти элем",((AA78+AB78)*2+AA78)*AC78/1000,IF(U78="Витрина",((AA78+AB78)*2+AA78)*AC78/1000,IF(U78="3-х элем",((AA78+AB78)*2+AA78)*AC78/1000,IF(U78="Гладкий",(AA78+AB78)*2*AC78/1000,0))))</f>
        <v>0</v>
      </c>
      <c r="AH78" s="185">
        <f>IF(U78="5-ти элем",(AA78*2*2*AC78/1000),IF(U78="витрина",(AA78*2*AC78/1000),0))</f>
        <v>0</v>
      </c>
      <c r="AI78" s="185">
        <f>IF(U78="5-ти элем",(16*T78),IF(U78="3-х элем",(12*T78),IF(U78="витрина",(16*T78),0)))</f>
        <v>0</v>
      </c>
      <c r="AJ78" s="188">
        <f>AF78+AE78</f>
        <v>0</v>
      </c>
      <c r="AK78" s="189">
        <f t="shared" ref="AK78" si="502">AD78</f>
        <v>0</v>
      </c>
      <c r="AL78" s="185">
        <f t="shared" ref="AL78" si="503">AK78</f>
        <v>0</v>
      </c>
      <c r="AM78" s="185">
        <f t="shared" ref="AM78" si="504">IF(U78="Гладкий",AK78, 0)</f>
        <v>0</v>
      </c>
      <c r="AN78" s="190">
        <f t="shared" ref="AN78" si="505">IF(U78="Гладкий",AK78, 0)</f>
        <v>0</v>
      </c>
      <c r="AO78" s="191">
        <f>IF(U78="5-ти элем","Paz 8 mm",IF(U78="витрина","Paz 4 mm",0))</f>
        <v>0</v>
      </c>
      <c r="AP78" s="172">
        <f t="shared" si="225"/>
        <v>0</v>
      </c>
      <c r="AQ78" s="168">
        <f t="shared" si="424"/>
        <v>0</v>
      </c>
      <c r="AR78" s="172">
        <f>AF78+AF79+AE78</f>
        <v>0</v>
      </c>
      <c r="AS78" s="207" t="s">
        <v>236</v>
      </c>
      <c r="AT78" s="184"/>
      <c r="AU78" s="184"/>
      <c r="AV78" s="184"/>
      <c r="AW78" s="184"/>
      <c r="AX78" s="184"/>
      <c r="AY78" s="138"/>
    </row>
    <row r="79" spans="1:51" x14ac:dyDescent="0.25">
      <c r="A79" s="184"/>
      <c r="B79" s="184"/>
      <c r="C79" s="184"/>
      <c r="D79" s="184"/>
      <c r="E79" s="184"/>
      <c r="F79" s="184"/>
      <c r="G79" s="184"/>
      <c r="H79" s="184"/>
      <c r="I79" s="184"/>
      <c r="J79" s="184"/>
      <c r="K79" s="184"/>
      <c r="L79" s="184"/>
      <c r="M79" s="184"/>
      <c r="N79" s="184"/>
      <c r="O79" s="184"/>
      <c r="P79" s="184"/>
      <c r="Q79" s="322"/>
      <c r="R79" s="319"/>
      <c r="S79" s="319"/>
      <c r="T79" s="319"/>
      <c r="U79" s="319"/>
      <c r="V79" s="319"/>
      <c r="W79" s="319"/>
      <c r="X79" s="319"/>
      <c r="Y79" s="181">
        <f>W78</f>
        <v>18</v>
      </c>
      <c r="Z79" s="192" t="s">
        <v>15</v>
      </c>
      <c r="AA79" s="181">
        <f>IF(U78="5-ти элем",(S78-160),IF(U78="витрина",(S78-160),IF(U78="3-х элем",(S78-160),0)))</f>
        <v>0</v>
      </c>
      <c r="AB79" s="181">
        <f>IF(U78="5-ти элем",164,IF(U78="витрина",164,IF(U78="3-х элем",R78,0)))</f>
        <v>0</v>
      </c>
      <c r="AC79" s="185">
        <f t="shared" ref="AC79" si="506">IF(AA79&gt;0,T78,0)</f>
        <v>0</v>
      </c>
      <c r="AD79" s="181">
        <f>H39</f>
        <v>0</v>
      </c>
      <c r="AE79" s="325"/>
      <c r="AF79" s="193">
        <f t="shared" ref="AF79" si="507">IF(U78="3-х элем",(AB79*2*AC79/1000),IF(U78="5-ти элем",((AA79+AB79)*2*AC79/1000),IF(U78="витрина",((AA79+AB79)*2*AC79/1000),0)))</f>
        <v>0</v>
      </c>
      <c r="AG79" s="187">
        <f t="shared" ref="AG79" si="508">IF(U78="5-ти элем",((AA79+AB79)*2+AA79)*AC79/1000,IF(U78="Витрина",((AA79+AB79)*2+AA79)*AC79/1000,IF(U78="3-х элем",(AA79+AB79)*2*AC79/1000,0)))</f>
        <v>0</v>
      </c>
      <c r="AH79" s="193">
        <f>IF(U78="5-ти элем",(AA79*2*2*AC79/1000),IF(U78="витрина",(AA79*2*AC79/1000),0))</f>
        <v>0</v>
      </c>
      <c r="AI79" s="181"/>
      <c r="AJ79" s="194">
        <f>AF79</f>
        <v>0</v>
      </c>
      <c r="AK79" s="195">
        <f t="shared" ref="AK79" si="509">IF(U78="5-ти элем",AK78,IF(U78="витрина",AK78,0))</f>
        <v>0</v>
      </c>
      <c r="AL79" s="181">
        <f t="shared" ref="AL79" si="510">IF(U78="5-ти элем",AK78,IF(U78="витрина",AK78,0))</f>
        <v>0</v>
      </c>
      <c r="AM79" s="181">
        <f t="shared" ref="AM79" si="511">IF(U78="Гладкий", 0,AK78)</f>
        <v>0</v>
      </c>
      <c r="AN79" s="196">
        <f t="shared" ref="AN79" si="512">IF(U78="Гладкий", 0,AK78)</f>
        <v>0</v>
      </c>
      <c r="AO79" s="197">
        <f>IF(U78="5-ти элем","Paz 8 mm",IF(U78="витрина","Paz 4 mm",0))</f>
        <v>0</v>
      </c>
      <c r="AP79" s="172">
        <f t="shared" si="225"/>
        <v>0</v>
      </c>
      <c r="AQ79" s="168">
        <f t="shared" si="424"/>
        <v>0</v>
      </c>
      <c r="AR79" s="172"/>
      <c r="AS79" s="207" t="s">
        <v>237</v>
      </c>
      <c r="AT79" s="184"/>
      <c r="AU79" s="184"/>
      <c r="AV79" s="184"/>
      <c r="AW79" s="184"/>
      <c r="AX79" s="184"/>
      <c r="AY79" s="138"/>
    </row>
    <row r="80" spans="1:51" ht="15.75" thickBot="1" x14ac:dyDescent="0.3">
      <c r="A80" s="184"/>
      <c r="B80" s="184"/>
      <c r="C80" s="184"/>
      <c r="D80" s="184"/>
      <c r="E80" s="184"/>
      <c r="F80" s="184"/>
      <c r="G80" s="184"/>
      <c r="H80" s="184"/>
      <c r="I80" s="184"/>
      <c r="J80" s="184"/>
      <c r="K80" s="184"/>
      <c r="L80" s="184"/>
      <c r="M80" s="184"/>
      <c r="N80" s="184"/>
      <c r="O80" s="184"/>
      <c r="P80" s="184"/>
      <c r="Q80" s="323"/>
      <c r="R80" s="320"/>
      <c r="S80" s="320"/>
      <c r="T80" s="320"/>
      <c r="U80" s="320"/>
      <c r="V80" s="320"/>
      <c r="W80" s="320"/>
      <c r="X80" s="320"/>
      <c r="Y80" s="199">
        <f>X78</f>
        <v>0</v>
      </c>
      <c r="Z80" s="200" t="s">
        <v>1</v>
      </c>
      <c r="AA80" s="199">
        <f>IF(U78="5-ти элем",(R78-160+19),IF(U78="витрина",(R78-160+19),0))</f>
        <v>0</v>
      </c>
      <c r="AB80" s="199">
        <f>IF(U78="5-ти элем",(S78-160+19),IF(U78="витрина",(S78-160+19),0))</f>
        <v>0</v>
      </c>
      <c r="AC80" s="199">
        <f t="shared" ref="AC80" si="513">IF(U78="Гладкий",0,IF(U78="3-х элем",0,T78))</f>
        <v>0</v>
      </c>
      <c r="AD80" s="199">
        <f>IF(E39="Витрина","Стекло",H39)</f>
        <v>0</v>
      </c>
      <c r="AE80" s="326"/>
      <c r="AF80" s="199"/>
      <c r="AG80" s="201">
        <f t="shared" ref="AG80" si="514">IF(Y80=8,(AA80+AB80)*2*AC80/1000,0)</f>
        <v>0</v>
      </c>
      <c r="AH80" s="201">
        <v>0</v>
      </c>
      <c r="AI80" s="199"/>
      <c r="AJ80" s="206"/>
      <c r="AK80" s="203">
        <v>0</v>
      </c>
      <c r="AL80" s="199">
        <v>0</v>
      </c>
      <c r="AM80" s="199">
        <v>0</v>
      </c>
      <c r="AN80" s="202">
        <v>0</v>
      </c>
      <c r="AO80" s="204"/>
      <c r="AP80" s="172">
        <f>IF(AD80="Стекло",0,(AA80*AB80*AC80/1000000))</f>
        <v>0</v>
      </c>
      <c r="AQ80" s="168">
        <f t="shared" si="424"/>
        <v>0</v>
      </c>
      <c r="AR80" s="172"/>
      <c r="AS80" s="207" t="s">
        <v>238</v>
      </c>
      <c r="AT80" s="184"/>
      <c r="AU80" s="184"/>
      <c r="AV80" s="184"/>
      <c r="AW80" s="184"/>
      <c r="AX80" s="184"/>
      <c r="AY80" s="138"/>
    </row>
    <row r="81" spans="1:51" ht="15.75" thickBot="1" x14ac:dyDescent="0.3">
      <c r="A81" s="184"/>
      <c r="B81" s="184"/>
      <c r="C81" s="184"/>
      <c r="D81" s="184"/>
      <c r="E81" s="184"/>
      <c r="F81" s="184"/>
      <c r="G81" s="184"/>
      <c r="H81" s="184"/>
      <c r="I81" s="184"/>
      <c r="J81" s="184"/>
      <c r="K81" s="184"/>
      <c r="L81" s="184"/>
      <c r="M81" s="184"/>
      <c r="N81" s="184"/>
      <c r="O81" s="184"/>
      <c r="P81" s="184"/>
      <c r="Q81" s="321">
        <v>27</v>
      </c>
      <c r="R81" s="318">
        <f>Бланк!B40</f>
        <v>0</v>
      </c>
      <c r="S81" s="318">
        <f>Бланк!C40</f>
        <v>0</v>
      </c>
      <c r="T81" s="318">
        <f>Бланк!D40</f>
        <v>0</v>
      </c>
      <c r="U81" s="318">
        <f>Бланк!E40</f>
        <v>0</v>
      </c>
      <c r="V81" s="318">
        <f>IF(E40="Гладкий",0,(1*D40))</f>
        <v>0</v>
      </c>
      <c r="W81" s="318">
        <f>Бланк!F40</f>
        <v>18</v>
      </c>
      <c r="X81" s="318">
        <f>Бланк!G40</f>
        <v>0</v>
      </c>
      <c r="Y81" s="185">
        <f>W81</f>
        <v>18</v>
      </c>
      <c r="Z81" s="186" t="s">
        <v>14</v>
      </c>
      <c r="AA81" s="185">
        <f>R81</f>
        <v>0</v>
      </c>
      <c r="AB81" s="185">
        <f>IF(U81="Гладкий",S81,164)</f>
        <v>164</v>
      </c>
      <c r="AC81" s="185">
        <f t="shared" ref="AC81" si="515">IF(AA81&gt;0,T81,0)</f>
        <v>0</v>
      </c>
      <c r="AD81" s="185">
        <f>H40</f>
        <v>0</v>
      </c>
      <c r="AE81" s="324">
        <f>IF(U81="Гладкий",0,((R81+S81)*2*T81/1000))</f>
        <v>0</v>
      </c>
      <c r="AF81" s="187">
        <f>IF(U81="Гладкий",((AA81+AB81)*2*AC81/1000),(AA81*2*AC81/1000))</f>
        <v>0</v>
      </c>
      <c r="AG81" s="187">
        <f t="shared" ref="AG81" si="516">IF(U81="5-ти элем",((AA81+AB81)*2+AA81)*AC81/1000,IF(U81="Витрина",((AA81+AB81)*2+AA81)*AC81/1000,IF(U81="3-х элем",((AA81+AB81)*2+AA81)*AC81/1000,IF(U81="Гладкий",(AA81+AB81)*2*AC81/1000,0))))</f>
        <v>0</v>
      </c>
      <c r="AH81" s="185">
        <f>IF(U81="5-ти элем",(AA81*2*2*AC81/1000),IF(U81="витрина",(AA81*2*AC81/1000),0))</f>
        <v>0</v>
      </c>
      <c r="AI81" s="185">
        <f>IF(U81="5-ти элем",(16*T81),IF(U81="3-х элем",(12*T81),IF(U81="витрина",(16*T81),0)))</f>
        <v>0</v>
      </c>
      <c r="AJ81" s="188">
        <f>AF81+AE81</f>
        <v>0</v>
      </c>
      <c r="AK81" s="189">
        <f t="shared" ref="AK81" si="517">AD81</f>
        <v>0</v>
      </c>
      <c r="AL81" s="185">
        <f t="shared" ref="AL81" si="518">AK81</f>
        <v>0</v>
      </c>
      <c r="AM81" s="185">
        <f t="shared" ref="AM81" si="519">IF(U81="Гладкий",AK81, 0)</f>
        <v>0</v>
      </c>
      <c r="AN81" s="190">
        <f t="shared" ref="AN81" si="520">IF(U81="Гладкий",AK81, 0)</f>
        <v>0</v>
      </c>
      <c r="AO81" s="191">
        <f>IF(U81="5-ти элем","Paz 8 mm",IF(U81="витрина","Paz 4 mm",0))</f>
        <v>0</v>
      </c>
      <c r="AP81" s="172">
        <f t="shared" si="225"/>
        <v>0</v>
      </c>
      <c r="AQ81" s="168">
        <f t="shared" si="424"/>
        <v>0</v>
      </c>
      <c r="AR81" s="172">
        <f>AF81+AF82+AE81</f>
        <v>0</v>
      </c>
      <c r="AS81" s="207" t="s">
        <v>239</v>
      </c>
      <c r="AT81" s="184"/>
      <c r="AU81" s="184"/>
      <c r="AV81" s="184"/>
      <c r="AW81" s="184"/>
      <c r="AX81" s="184"/>
      <c r="AY81" s="138"/>
    </row>
    <row r="82" spans="1:51" x14ac:dyDescent="0.25">
      <c r="A82" s="184"/>
      <c r="B82" s="184"/>
      <c r="C82" s="184"/>
      <c r="D82" s="184"/>
      <c r="E82" s="184"/>
      <c r="F82" s="184"/>
      <c r="G82" s="184"/>
      <c r="H82" s="184"/>
      <c r="I82" s="184"/>
      <c r="J82" s="184"/>
      <c r="K82" s="184"/>
      <c r="L82" s="184"/>
      <c r="M82" s="184"/>
      <c r="N82" s="184"/>
      <c r="O82" s="184"/>
      <c r="P82" s="184"/>
      <c r="Q82" s="322"/>
      <c r="R82" s="319"/>
      <c r="S82" s="319"/>
      <c r="T82" s="319"/>
      <c r="U82" s="319"/>
      <c r="V82" s="319"/>
      <c r="W82" s="319"/>
      <c r="X82" s="319"/>
      <c r="Y82" s="181">
        <f>W81</f>
        <v>18</v>
      </c>
      <c r="Z82" s="192" t="s">
        <v>15</v>
      </c>
      <c r="AA82" s="181">
        <f>IF(U81="5-ти элем",(S81-160),IF(U81="витрина",(S81-160),IF(U81="3-х элем",(S81-160),0)))</f>
        <v>0</v>
      </c>
      <c r="AB82" s="181">
        <f>IF(U81="5-ти элем",164,IF(U81="витрина",164,IF(U81="3-х элем",R81,0)))</f>
        <v>0</v>
      </c>
      <c r="AC82" s="185">
        <f t="shared" ref="AC82" si="521">IF(AA82&gt;0,T81,0)</f>
        <v>0</v>
      </c>
      <c r="AD82" s="181">
        <f>H40</f>
        <v>0</v>
      </c>
      <c r="AE82" s="325"/>
      <c r="AF82" s="193">
        <f t="shared" ref="AF82" si="522">IF(U81="3-х элем",(AB82*2*AC82/1000),IF(U81="5-ти элем",((AA82+AB82)*2*AC82/1000),IF(U81="витрина",((AA82+AB82)*2*AC82/1000),0)))</f>
        <v>0</v>
      </c>
      <c r="AG82" s="187">
        <f t="shared" ref="AG82" si="523">IF(U81="5-ти элем",((AA82+AB82)*2+AA82)*AC82/1000,IF(U81="Витрина",((AA82+AB82)*2+AA82)*AC82/1000,IF(U81="3-х элем",(AA82+AB82)*2*AC82/1000,0)))</f>
        <v>0</v>
      </c>
      <c r="AH82" s="193">
        <f>IF(U81="5-ти элем",(AA82*2*2*AC82/1000),IF(U81="витрина",(AA82*2*AC82/1000),0))</f>
        <v>0</v>
      </c>
      <c r="AI82" s="181"/>
      <c r="AJ82" s="194">
        <f>AF82</f>
        <v>0</v>
      </c>
      <c r="AK82" s="195">
        <f t="shared" ref="AK82" si="524">IF(U81="5-ти элем",AK81,IF(U81="витрина",AK81,0))</f>
        <v>0</v>
      </c>
      <c r="AL82" s="181">
        <f t="shared" ref="AL82" si="525">IF(U81="5-ти элем",AK81,IF(U81="витрина",AK81,0))</f>
        <v>0</v>
      </c>
      <c r="AM82" s="181">
        <f t="shared" ref="AM82" si="526">IF(U81="Гладкий", 0,AK81)</f>
        <v>0</v>
      </c>
      <c r="AN82" s="196">
        <f t="shared" ref="AN82" si="527">IF(U81="Гладкий", 0,AK81)</f>
        <v>0</v>
      </c>
      <c r="AO82" s="197">
        <f>IF(U81="5-ти элем","Paz 8 mm",IF(U81="витрина","Paz 4 mm",0))</f>
        <v>0</v>
      </c>
      <c r="AP82" s="172">
        <f t="shared" si="225"/>
        <v>0</v>
      </c>
      <c r="AQ82" s="168">
        <f t="shared" si="424"/>
        <v>0</v>
      </c>
      <c r="AR82" s="172"/>
      <c r="AS82" s="207" t="s">
        <v>240</v>
      </c>
      <c r="AT82" s="184"/>
      <c r="AU82" s="184"/>
      <c r="AV82" s="184"/>
      <c r="AW82" s="184"/>
      <c r="AX82" s="184"/>
      <c r="AY82" s="138"/>
    </row>
    <row r="83" spans="1:51" ht="15.75" thickBot="1" x14ac:dyDescent="0.3">
      <c r="A83" s="184"/>
      <c r="B83" s="184"/>
      <c r="C83" s="184"/>
      <c r="D83" s="184"/>
      <c r="E83" s="184"/>
      <c r="F83" s="184"/>
      <c r="G83" s="184"/>
      <c r="H83" s="184"/>
      <c r="I83" s="184"/>
      <c r="J83" s="184"/>
      <c r="K83" s="184"/>
      <c r="L83" s="184"/>
      <c r="M83" s="184"/>
      <c r="N83" s="184"/>
      <c r="O83" s="184"/>
      <c r="P83" s="184"/>
      <c r="Q83" s="323"/>
      <c r="R83" s="320"/>
      <c r="S83" s="320"/>
      <c r="T83" s="320"/>
      <c r="U83" s="320"/>
      <c r="V83" s="320"/>
      <c r="W83" s="320"/>
      <c r="X83" s="320"/>
      <c r="Y83" s="199">
        <f>X81</f>
        <v>0</v>
      </c>
      <c r="Z83" s="200" t="s">
        <v>1</v>
      </c>
      <c r="AA83" s="199">
        <f>IF(U81="5-ти элем",(R81-160+19),IF(U81="витрина",(R81-160+19),0))</f>
        <v>0</v>
      </c>
      <c r="AB83" s="199">
        <f>IF(U81="5-ти элем",(S81-160+19),IF(U81="витрина",(S81-160+19),0))</f>
        <v>0</v>
      </c>
      <c r="AC83" s="199">
        <f t="shared" ref="AC83" si="528">IF(U81="Гладкий",0,IF(U81="3-х элем",0,T81))</f>
        <v>0</v>
      </c>
      <c r="AD83" s="199">
        <f>IF(E40="Витрина","Стекло",H40)</f>
        <v>0</v>
      </c>
      <c r="AE83" s="326"/>
      <c r="AF83" s="199"/>
      <c r="AG83" s="201">
        <f t="shared" ref="AG83" si="529">IF(Y83=8,(AA83+AB83)*2*AC83/1000,0)</f>
        <v>0</v>
      </c>
      <c r="AH83" s="201">
        <v>0</v>
      </c>
      <c r="AI83" s="199"/>
      <c r="AJ83" s="206"/>
      <c r="AK83" s="203">
        <v>0</v>
      </c>
      <c r="AL83" s="199">
        <v>0</v>
      </c>
      <c r="AM83" s="199">
        <v>0</v>
      </c>
      <c r="AN83" s="202">
        <v>0</v>
      </c>
      <c r="AO83" s="204"/>
      <c r="AP83" s="172">
        <f>IF(AD83="Стекло",0,(AA83*AB83*AC83/1000000))</f>
        <v>0</v>
      </c>
      <c r="AQ83" s="168">
        <f t="shared" si="424"/>
        <v>0</v>
      </c>
      <c r="AR83" s="172"/>
      <c r="AS83" s="207" t="s">
        <v>241</v>
      </c>
      <c r="AT83" s="184"/>
      <c r="AU83" s="184"/>
      <c r="AV83" s="184"/>
      <c r="AW83" s="184"/>
      <c r="AX83" s="184"/>
      <c r="AY83" s="138"/>
    </row>
    <row r="84" spans="1:51" ht="15.75" thickBot="1" x14ac:dyDescent="0.3">
      <c r="A84" s="184"/>
      <c r="B84" s="184"/>
      <c r="C84" s="184"/>
      <c r="D84" s="184"/>
      <c r="E84" s="184"/>
      <c r="F84" s="184"/>
      <c r="G84" s="184"/>
      <c r="H84" s="184"/>
      <c r="I84" s="184"/>
      <c r="J84" s="184"/>
      <c r="K84" s="184"/>
      <c r="L84" s="184"/>
      <c r="M84" s="184"/>
      <c r="N84" s="184"/>
      <c r="O84" s="184"/>
      <c r="P84" s="184"/>
      <c r="Q84" s="321">
        <v>28</v>
      </c>
      <c r="R84" s="318">
        <f>Бланк!B41</f>
        <v>0</v>
      </c>
      <c r="S84" s="318">
        <f>Бланк!C41</f>
        <v>0</v>
      </c>
      <c r="T84" s="318">
        <f>Бланк!D41</f>
        <v>0</v>
      </c>
      <c r="U84" s="318">
        <f>Бланк!E41</f>
        <v>0</v>
      </c>
      <c r="V84" s="318">
        <f>IF(E41="Гладкий",0,(1*D41))</f>
        <v>0</v>
      </c>
      <c r="W84" s="318">
        <f>Бланк!F41</f>
        <v>18</v>
      </c>
      <c r="X84" s="318">
        <f>Бланк!G41</f>
        <v>0</v>
      </c>
      <c r="Y84" s="185">
        <f>W84</f>
        <v>18</v>
      </c>
      <c r="Z84" s="186" t="s">
        <v>14</v>
      </c>
      <c r="AA84" s="185">
        <f>R84</f>
        <v>0</v>
      </c>
      <c r="AB84" s="185">
        <f>IF(U84="Гладкий",S84,164)</f>
        <v>164</v>
      </c>
      <c r="AC84" s="185">
        <f t="shared" ref="AC84" si="530">IF(AA84&gt;0,T84,0)</f>
        <v>0</v>
      </c>
      <c r="AD84" s="185">
        <f>H41</f>
        <v>0</v>
      </c>
      <c r="AE84" s="324">
        <f>IF(U84="Гладкий",0,((R84+S84)*2*T84/1000))</f>
        <v>0</v>
      </c>
      <c r="AF84" s="187">
        <f>IF(U84="Гладкий",((AA84+AB84)*2*AC84/1000),(AA84*2*AC84/1000))</f>
        <v>0</v>
      </c>
      <c r="AG84" s="187">
        <f t="shared" ref="AG84" si="531">IF(U84="5-ти элем",((AA84+AB84)*2+AA84)*AC84/1000,IF(U84="Витрина",((AA84+AB84)*2+AA84)*AC84/1000,IF(U84="3-х элем",((AA84+AB84)*2+AA84)*AC84/1000,IF(U84="Гладкий",(AA84+AB84)*2*AC84/1000,0))))</f>
        <v>0</v>
      </c>
      <c r="AH84" s="185">
        <f>IF(U84="5-ти элем",(AA84*2*2*AC84/1000),IF(U84="витрина",(AA84*2*AC84/1000),0))</f>
        <v>0</v>
      </c>
      <c r="AI84" s="185">
        <f>IF(U84="5-ти элем",(16*T84),IF(U84="3-х элем",(12*T84),IF(U84="витрина",(16*T84),0)))</f>
        <v>0</v>
      </c>
      <c r="AJ84" s="188">
        <f>AF84+AE84</f>
        <v>0</v>
      </c>
      <c r="AK84" s="189">
        <f t="shared" ref="AK84" si="532">AD84</f>
        <v>0</v>
      </c>
      <c r="AL84" s="185">
        <f t="shared" ref="AL84" si="533">AK84</f>
        <v>0</v>
      </c>
      <c r="AM84" s="185">
        <f t="shared" ref="AM84" si="534">IF(U84="Гладкий",AK84, 0)</f>
        <v>0</v>
      </c>
      <c r="AN84" s="190">
        <f t="shared" ref="AN84" si="535">IF(U84="Гладкий",AK84, 0)</f>
        <v>0</v>
      </c>
      <c r="AO84" s="191">
        <f>IF(U84="5-ти элем","Paz 8 mm",IF(U84="витрина","Paz 4 mm",0))</f>
        <v>0</v>
      </c>
      <c r="AP84" s="172">
        <f t="shared" ref="AP84:AP88" si="536">(AA84*AB84*AC84)/1000000</f>
        <v>0</v>
      </c>
      <c r="AQ84" s="168">
        <f t="shared" si="424"/>
        <v>0</v>
      </c>
      <c r="AR84" s="172">
        <f>AF84+AF85+AE84</f>
        <v>0</v>
      </c>
      <c r="AS84" s="207" t="s">
        <v>242</v>
      </c>
      <c r="AT84" s="184"/>
      <c r="AU84" s="184"/>
      <c r="AV84" s="184"/>
      <c r="AW84" s="184"/>
      <c r="AX84" s="184"/>
      <c r="AY84" s="138"/>
    </row>
    <row r="85" spans="1:51" x14ac:dyDescent="0.25">
      <c r="A85" s="184"/>
      <c r="B85" s="184"/>
      <c r="C85" s="184"/>
      <c r="D85" s="184"/>
      <c r="E85" s="184"/>
      <c r="F85" s="184"/>
      <c r="G85" s="184"/>
      <c r="H85" s="184"/>
      <c r="I85" s="184"/>
      <c r="J85" s="184"/>
      <c r="K85" s="184"/>
      <c r="L85" s="184"/>
      <c r="M85" s="184"/>
      <c r="N85" s="184"/>
      <c r="O85" s="184"/>
      <c r="P85" s="184"/>
      <c r="Q85" s="322"/>
      <c r="R85" s="319"/>
      <c r="S85" s="319"/>
      <c r="T85" s="319"/>
      <c r="U85" s="319"/>
      <c r="V85" s="319"/>
      <c r="W85" s="319"/>
      <c r="X85" s="319"/>
      <c r="Y85" s="181">
        <f>W84</f>
        <v>18</v>
      </c>
      <c r="Z85" s="192" t="s">
        <v>15</v>
      </c>
      <c r="AA85" s="181">
        <f>IF(U84="5-ти элем",(S84-160),IF(U84="витрина",(S84-160),IF(U84="3-х элем",(S84-160),0)))</f>
        <v>0</v>
      </c>
      <c r="AB85" s="181">
        <f>IF(U84="5-ти элем",164,IF(U84="витрина",164,IF(U84="3-х элем",R84,0)))</f>
        <v>0</v>
      </c>
      <c r="AC85" s="185">
        <f t="shared" ref="AC85" si="537">IF(AA85&gt;0,T84,0)</f>
        <v>0</v>
      </c>
      <c r="AD85" s="181">
        <f>H41</f>
        <v>0</v>
      </c>
      <c r="AE85" s="325"/>
      <c r="AF85" s="193">
        <f t="shared" ref="AF85" si="538">IF(U84="3-х элем",(AB85*2*AC85/1000),IF(U84="5-ти элем",((AA85+AB85)*2*AC85/1000),IF(U84="витрина",((AA85+AB85)*2*AC85/1000),0)))</f>
        <v>0</v>
      </c>
      <c r="AG85" s="187">
        <f t="shared" ref="AG85" si="539">IF(U84="5-ти элем",((AA85+AB85)*2+AA85)*AC85/1000,IF(U84="Витрина",((AA85+AB85)*2+AA85)*AC85/1000,IF(U84="3-х элем",(AA85+AB85)*2*AC85/1000,0)))</f>
        <v>0</v>
      </c>
      <c r="AH85" s="193">
        <f>IF(U84="5-ти элем",(AA85*2*2*AC85/1000),IF(U84="витрина",(AA85*2*AC85/1000),0))</f>
        <v>0</v>
      </c>
      <c r="AI85" s="181"/>
      <c r="AJ85" s="194">
        <f>AF85</f>
        <v>0</v>
      </c>
      <c r="AK85" s="195">
        <f t="shared" ref="AK85" si="540">IF(U84="5-ти элем",AK84,IF(U84="витрина",AK84,0))</f>
        <v>0</v>
      </c>
      <c r="AL85" s="181">
        <f t="shared" ref="AL85" si="541">IF(U84="5-ти элем",AK84,IF(U84="витрина",AK84,0))</f>
        <v>0</v>
      </c>
      <c r="AM85" s="181">
        <f t="shared" ref="AM85" si="542">IF(U84="Гладкий", 0,AK84)</f>
        <v>0</v>
      </c>
      <c r="AN85" s="196">
        <f t="shared" ref="AN85" si="543">IF(U84="Гладкий", 0,AK84)</f>
        <v>0</v>
      </c>
      <c r="AO85" s="197">
        <f>IF(U84="5-ти элем","Paz 8 mm",IF(U84="витрина","Paz 4 mm",0))</f>
        <v>0</v>
      </c>
      <c r="AP85" s="172">
        <f t="shared" si="536"/>
        <v>0</v>
      </c>
      <c r="AQ85" s="168">
        <f t="shared" si="424"/>
        <v>0</v>
      </c>
      <c r="AR85" s="172"/>
      <c r="AS85" s="207" t="s">
        <v>243</v>
      </c>
      <c r="AT85" s="184"/>
      <c r="AU85" s="184"/>
      <c r="AV85" s="184"/>
      <c r="AW85" s="184"/>
      <c r="AX85" s="184"/>
      <c r="AY85" s="138"/>
    </row>
    <row r="86" spans="1:51" ht="15.75" thickBot="1" x14ac:dyDescent="0.3">
      <c r="A86" s="184"/>
      <c r="B86" s="184"/>
      <c r="C86" s="184"/>
      <c r="D86" s="184"/>
      <c r="E86" s="184"/>
      <c r="F86" s="184"/>
      <c r="G86" s="184"/>
      <c r="H86" s="184"/>
      <c r="I86" s="184"/>
      <c r="J86" s="184"/>
      <c r="K86" s="184"/>
      <c r="L86" s="184"/>
      <c r="M86" s="184"/>
      <c r="N86" s="184"/>
      <c r="O86" s="184"/>
      <c r="P86" s="184"/>
      <c r="Q86" s="323"/>
      <c r="R86" s="320"/>
      <c r="S86" s="320"/>
      <c r="T86" s="320"/>
      <c r="U86" s="320"/>
      <c r="V86" s="320"/>
      <c r="W86" s="320"/>
      <c r="X86" s="320"/>
      <c r="Y86" s="199">
        <f>X84</f>
        <v>0</v>
      </c>
      <c r="Z86" s="200" t="s">
        <v>1</v>
      </c>
      <c r="AA86" s="199">
        <f>IF(U84="5-ти элем",(R84-160+19),IF(U84="витрина",(R84-160+19),0))</f>
        <v>0</v>
      </c>
      <c r="AB86" s="199">
        <f>IF(U84="5-ти элем",(S84-160+19),IF(U84="витрина",(S84-160+19),0))</f>
        <v>0</v>
      </c>
      <c r="AC86" s="199">
        <f t="shared" ref="AC86" si="544">IF(U84="Гладкий",0,IF(U84="3-х элем",0,T84))</f>
        <v>0</v>
      </c>
      <c r="AD86" s="199">
        <f>IF(E41="Витрина","Стекло",H41)</f>
        <v>0</v>
      </c>
      <c r="AE86" s="326"/>
      <c r="AF86" s="199"/>
      <c r="AG86" s="201">
        <f t="shared" ref="AG86" si="545">IF(Y86=8,(AA86+AB86)*2*AC86/1000,0)</f>
        <v>0</v>
      </c>
      <c r="AH86" s="201">
        <v>0</v>
      </c>
      <c r="AI86" s="199"/>
      <c r="AJ86" s="206"/>
      <c r="AK86" s="203">
        <v>0</v>
      </c>
      <c r="AL86" s="199">
        <v>0</v>
      </c>
      <c r="AM86" s="199">
        <v>0</v>
      </c>
      <c r="AN86" s="202">
        <v>0</v>
      </c>
      <c r="AO86" s="204"/>
      <c r="AP86" s="172">
        <f>IF(AD86="Стекло",0,(AA86*AB86*AC86/1000000))</f>
        <v>0</v>
      </c>
      <c r="AQ86" s="168">
        <f t="shared" si="424"/>
        <v>0</v>
      </c>
      <c r="AR86" s="172"/>
      <c r="AS86" s="207" t="s">
        <v>244</v>
      </c>
      <c r="AT86" s="184"/>
      <c r="AU86" s="184"/>
      <c r="AV86" s="184"/>
      <c r="AW86" s="184"/>
      <c r="AX86" s="184"/>
      <c r="AY86" s="138"/>
    </row>
    <row r="87" spans="1:51" ht="15.75" thickBot="1" x14ac:dyDescent="0.3">
      <c r="A87" s="184"/>
      <c r="B87" s="184"/>
      <c r="C87" s="184"/>
      <c r="D87" s="184"/>
      <c r="E87" s="184"/>
      <c r="F87" s="184"/>
      <c r="G87" s="184"/>
      <c r="H87" s="184"/>
      <c r="I87" s="184"/>
      <c r="J87" s="184"/>
      <c r="K87" s="184"/>
      <c r="L87" s="184"/>
      <c r="M87" s="184"/>
      <c r="N87" s="184"/>
      <c r="O87" s="184"/>
      <c r="P87" s="184"/>
      <c r="Q87" s="321">
        <v>29</v>
      </c>
      <c r="R87" s="318">
        <f>Бланк!B42</f>
        <v>0</v>
      </c>
      <c r="S87" s="318">
        <f>Бланк!C42</f>
        <v>0</v>
      </c>
      <c r="T87" s="318">
        <f>Бланк!D42</f>
        <v>0</v>
      </c>
      <c r="U87" s="318">
        <f>Бланк!E42</f>
        <v>0</v>
      </c>
      <c r="V87" s="318">
        <f>IF(E42="Гладкий",0,(1*D42))</f>
        <v>0</v>
      </c>
      <c r="W87" s="318">
        <f>Бланк!F42</f>
        <v>18</v>
      </c>
      <c r="X87" s="318">
        <f>Бланк!G42</f>
        <v>0</v>
      </c>
      <c r="Y87" s="185">
        <f>W87</f>
        <v>18</v>
      </c>
      <c r="Z87" s="186" t="s">
        <v>14</v>
      </c>
      <c r="AA87" s="185">
        <f>R87</f>
        <v>0</v>
      </c>
      <c r="AB87" s="185">
        <f>IF(U87="Гладкий",S87,164)</f>
        <v>164</v>
      </c>
      <c r="AC87" s="185">
        <f t="shared" ref="AC87" si="546">IF(AA87&gt;0,T87,0)</f>
        <v>0</v>
      </c>
      <c r="AD87" s="185">
        <f>H42</f>
        <v>0</v>
      </c>
      <c r="AE87" s="324">
        <f>IF(U87="Гладкий",0,((R87+S87)*2*T87/1000))</f>
        <v>0</v>
      </c>
      <c r="AF87" s="187">
        <f>IF(U87="Гладкий",((AA87+AB87)*2*AC87/1000),(AA87*2*AC87/1000))</f>
        <v>0</v>
      </c>
      <c r="AG87" s="187">
        <f t="shared" ref="AG87" si="547">IF(U87="5-ти элем",((AA87+AB87)*2+AA87)*AC87/1000,IF(U87="Витрина",((AA87+AB87)*2+AA87)*AC87/1000,IF(U87="3-х элем",((AA87+AB87)*2+AA87)*AC87/1000,IF(U87="Гладкий",(AA87+AB87)*2*AC87/1000,0))))</f>
        <v>0</v>
      </c>
      <c r="AH87" s="185">
        <f>IF(U87="5-ти элем",(AA87*2*2*AC87/1000),IF(U87="витрина",(AA87*2*AC87/1000),0))</f>
        <v>0</v>
      </c>
      <c r="AI87" s="185">
        <f>IF(U87="5-ти элем",(16*T87),IF(U87="3-х элем",(12*T87),IF(U87="витрина",(16*T87),0)))</f>
        <v>0</v>
      </c>
      <c r="AJ87" s="188">
        <f>AF87+AE87</f>
        <v>0</v>
      </c>
      <c r="AK87" s="189">
        <f t="shared" ref="AK87" si="548">AD87</f>
        <v>0</v>
      </c>
      <c r="AL87" s="185">
        <f t="shared" ref="AL87" si="549">AK87</f>
        <v>0</v>
      </c>
      <c r="AM87" s="185">
        <f t="shared" ref="AM87" si="550">IF(U87="Гладкий",AK87, 0)</f>
        <v>0</v>
      </c>
      <c r="AN87" s="190">
        <f t="shared" ref="AN87" si="551">IF(U87="Гладкий",AK87, 0)</f>
        <v>0</v>
      </c>
      <c r="AO87" s="191">
        <f>IF(U87="5-ти элем","Paz 8 mm",IF(U87="витрина","Paz 4 mm",0))</f>
        <v>0</v>
      </c>
      <c r="AP87" s="172">
        <f t="shared" si="536"/>
        <v>0</v>
      </c>
      <c r="AQ87" s="168">
        <f t="shared" si="424"/>
        <v>0</v>
      </c>
      <c r="AR87" s="172">
        <f>AF87+AF88+AE87</f>
        <v>0</v>
      </c>
      <c r="AS87" s="207" t="s">
        <v>245</v>
      </c>
      <c r="AT87" s="184"/>
      <c r="AU87" s="184"/>
      <c r="AV87" s="184"/>
      <c r="AW87" s="184"/>
      <c r="AX87" s="184"/>
      <c r="AY87" s="138"/>
    </row>
    <row r="88" spans="1:51" x14ac:dyDescent="0.25">
      <c r="A88" s="184"/>
      <c r="B88" s="184"/>
      <c r="C88" s="184"/>
      <c r="D88" s="184"/>
      <c r="E88" s="184"/>
      <c r="F88" s="184"/>
      <c r="G88" s="184"/>
      <c r="H88" s="184"/>
      <c r="I88" s="184"/>
      <c r="J88" s="184"/>
      <c r="K88" s="184"/>
      <c r="L88" s="184"/>
      <c r="M88" s="184"/>
      <c r="N88" s="184"/>
      <c r="O88" s="184"/>
      <c r="P88" s="184"/>
      <c r="Q88" s="322"/>
      <c r="R88" s="319"/>
      <c r="S88" s="319"/>
      <c r="T88" s="319"/>
      <c r="U88" s="319"/>
      <c r="V88" s="319"/>
      <c r="W88" s="319"/>
      <c r="X88" s="319"/>
      <c r="Y88" s="181">
        <f>W87</f>
        <v>18</v>
      </c>
      <c r="Z88" s="192" t="s">
        <v>15</v>
      </c>
      <c r="AA88" s="181">
        <f>IF(U87="5-ти элем",(S87-160),IF(U87="витрина",(S87-160),IF(U87="3-х элем",(S87-160),0)))</f>
        <v>0</v>
      </c>
      <c r="AB88" s="181">
        <f>IF(U87="5-ти элем",164,IF(U87="витрина",164,IF(U87="3-х элем",R87,0)))</f>
        <v>0</v>
      </c>
      <c r="AC88" s="185">
        <f t="shared" ref="AC88" si="552">IF(AA88&gt;0,T87,0)</f>
        <v>0</v>
      </c>
      <c r="AD88" s="181">
        <f>H42</f>
        <v>0</v>
      </c>
      <c r="AE88" s="325"/>
      <c r="AF88" s="193">
        <f t="shared" ref="AF88" si="553">IF(U87="3-х элем",(AB88*2*AC88/1000),IF(U87="5-ти элем",((AA88+AB88)*2*AC88/1000),IF(U87="витрина",((AA88+AB88)*2*AC88/1000),0)))</f>
        <v>0</v>
      </c>
      <c r="AG88" s="187">
        <f t="shared" ref="AG88" si="554">IF(U87="5-ти элем",((AA88+AB88)*2+AA88)*AC88/1000,IF(U87="Витрина",((AA88+AB88)*2+AA88)*AC88/1000,IF(U87="3-х элем",(AA88+AB88)*2*AC88/1000,0)))</f>
        <v>0</v>
      </c>
      <c r="AH88" s="193">
        <f>IF(U87="5-ти элем",(AA88*2*2*AC88/1000),IF(U87="витрина",(AA88*2*AC88/1000),0))</f>
        <v>0</v>
      </c>
      <c r="AI88" s="181"/>
      <c r="AJ88" s="194">
        <f>AF88</f>
        <v>0</v>
      </c>
      <c r="AK88" s="195">
        <f t="shared" ref="AK88" si="555">IF(U87="5-ти элем",AK87,IF(U87="витрина",AK87,0))</f>
        <v>0</v>
      </c>
      <c r="AL88" s="181">
        <f t="shared" ref="AL88" si="556">IF(U87="5-ти элем",AK87,IF(U87="витрина",AK87,0))</f>
        <v>0</v>
      </c>
      <c r="AM88" s="181">
        <f t="shared" ref="AM88" si="557">IF(U87="Гладкий", 0,AK87)</f>
        <v>0</v>
      </c>
      <c r="AN88" s="196">
        <f t="shared" ref="AN88" si="558">IF(U87="Гладкий", 0,AK87)</f>
        <v>0</v>
      </c>
      <c r="AO88" s="197">
        <f>IF(U87="5-ти элем","Paz 8 mm",IF(U87="витрина","Paz 4 mm",0))</f>
        <v>0</v>
      </c>
      <c r="AP88" s="172">
        <f t="shared" si="536"/>
        <v>0</v>
      </c>
      <c r="AQ88" s="168">
        <f t="shared" si="424"/>
        <v>0</v>
      </c>
      <c r="AR88" s="172"/>
      <c r="AS88" s="207" t="s">
        <v>246</v>
      </c>
      <c r="AT88" s="184"/>
      <c r="AU88" s="184"/>
      <c r="AV88" s="184"/>
      <c r="AW88" s="184"/>
      <c r="AX88" s="184"/>
      <c r="AY88" s="138"/>
    </row>
    <row r="89" spans="1:51" ht="15.75" thickBot="1" x14ac:dyDescent="0.3">
      <c r="A89" s="184"/>
      <c r="B89" s="184"/>
      <c r="C89" s="184"/>
      <c r="D89" s="184"/>
      <c r="E89" s="184"/>
      <c r="F89" s="184"/>
      <c r="G89" s="184"/>
      <c r="H89" s="184"/>
      <c r="I89" s="184"/>
      <c r="J89" s="184"/>
      <c r="K89" s="184"/>
      <c r="L89" s="184"/>
      <c r="M89" s="184"/>
      <c r="N89" s="184"/>
      <c r="O89" s="184"/>
      <c r="P89" s="184"/>
      <c r="Q89" s="322"/>
      <c r="R89" s="319"/>
      <c r="S89" s="319"/>
      <c r="T89" s="319"/>
      <c r="U89" s="319"/>
      <c r="V89" s="319"/>
      <c r="W89" s="319"/>
      <c r="X89" s="319"/>
      <c r="Y89" s="174">
        <f>X87</f>
        <v>0</v>
      </c>
      <c r="Z89" s="208" t="s">
        <v>1</v>
      </c>
      <c r="AA89" s="174">
        <f>IF(U87="5-ти элем",(R87-160+19),IF(U87="витрина",(R87-160+19),0))</f>
        <v>0</v>
      </c>
      <c r="AB89" s="174">
        <f>IF(U87="5-ти элем",(S87-160+19),IF(U87="витрина",(S87-160+19),0))</f>
        <v>0</v>
      </c>
      <c r="AC89" s="199">
        <f t="shared" ref="AC89" si="559">IF(U87="Гладкий",0,IF(U87="3-х элем",0,T87))</f>
        <v>0</v>
      </c>
      <c r="AD89" s="199">
        <f>IF(E42="Витрина","Стекло",H42)</f>
        <v>0</v>
      </c>
      <c r="AE89" s="325"/>
      <c r="AF89" s="199"/>
      <c r="AG89" s="201">
        <f t="shared" ref="AG89" si="560">IF(Y89=8,(AA89+AB89)*2*AC89/1000,0)</f>
        <v>0</v>
      </c>
      <c r="AH89" s="209">
        <v>0</v>
      </c>
      <c r="AI89" s="174"/>
      <c r="AJ89" s="210"/>
      <c r="AK89" s="203">
        <v>0</v>
      </c>
      <c r="AL89" s="199">
        <v>0</v>
      </c>
      <c r="AM89" s="199">
        <v>0</v>
      </c>
      <c r="AN89" s="202">
        <v>0</v>
      </c>
      <c r="AO89" s="204"/>
      <c r="AP89" s="172">
        <f>IF(AD89="Стекло",0,(AA89*AB89*AC89/1000000))</f>
        <v>0</v>
      </c>
      <c r="AQ89" s="168">
        <f t="shared" si="424"/>
        <v>0</v>
      </c>
      <c r="AR89" s="172"/>
      <c r="AS89" s="207" t="s">
        <v>247</v>
      </c>
      <c r="AT89" s="184"/>
      <c r="AU89" s="184"/>
      <c r="AV89" s="184"/>
      <c r="AW89" s="184"/>
      <c r="AX89" s="184"/>
      <c r="AY89" s="138"/>
    </row>
    <row r="90" spans="1:51" ht="15.75" thickBot="1" x14ac:dyDescent="0.3">
      <c r="A90" s="184"/>
      <c r="B90" s="184"/>
      <c r="C90" s="184"/>
      <c r="D90" s="184"/>
      <c r="E90" s="184"/>
      <c r="F90" s="184"/>
      <c r="G90" s="184"/>
      <c r="H90" s="184"/>
      <c r="I90" s="184"/>
      <c r="J90" s="184"/>
      <c r="K90" s="184"/>
      <c r="L90" s="184"/>
      <c r="M90" s="184"/>
      <c r="N90" s="184"/>
      <c r="O90" s="184"/>
      <c r="P90" s="184"/>
      <c r="Q90" s="355">
        <v>30</v>
      </c>
      <c r="R90" s="358">
        <f>Бланк!B43</f>
        <v>0</v>
      </c>
      <c r="S90" s="358">
        <f>Бланк!C43</f>
        <v>0</v>
      </c>
      <c r="T90" s="358">
        <f>Бланк!D43</f>
        <v>0</v>
      </c>
      <c r="U90" s="358">
        <f>Бланк!E43</f>
        <v>0</v>
      </c>
      <c r="V90" s="358">
        <f>IF(E43="Гладкий",0,(1*D43))</f>
        <v>0</v>
      </c>
      <c r="W90" s="358">
        <f>Бланк!F43</f>
        <v>18</v>
      </c>
      <c r="X90" s="358">
        <f>Бланк!G43</f>
        <v>0</v>
      </c>
      <c r="Y90" s="185">
        <f>W90</f>
        <v>18</v>
      </c>
      <c r="Z90" s="186" t="s">
        <v>14</v>
      </c>
      <c r="AA90" s="185">
        <f>R90</f>
        <v>0</v>
      </c>
      <c r="AB90" s="185">
        <f>IF(U90="Гладкий",S90,164)</f>
        <v>164</v>
      </c>
      <c r="AC90" s="185">
        <f t="shared" ref="AC90" si="561">IF(AA90&gt;0,T90,0)</f>
        <v>0</v>
      </c>
      <c r="AD90" s="185">
        <f>H43</f>
        <v>0</v>
      </c>
      <c r="AE90" s="351">
        <f>IF(U90="Гладкий",0,((R90+S90)*2*T90/1000))</f>
        <v>0</v>
      </c>
      <c r="AF90" s="187">
        <f>IF(U90="Гладкий",((AA90+AB90)*2*AC90/1000),(AA90*2*AC90/1000))</f>
        <v>0</v>
      </c>
      <c r="AG90" s="187">
        <f t="shared" ref="AG90" si="562">IF(U90="5-ти элем",((AA90+AB90)*2+AA90)*AC90/1000,IF(U90="Витрина",((AA90+AB90)*2+AA90)*AC90/1000,IF(U90="3-х элем",((AA90+AB90)*2+AA90)*AC90/1000,IF(U90="Гладкий",(AA90+AB90)*2*AC90/1000,0))))</f>
        <v>0</v>
      </c>
      <c r="AH90" s="185">
        <f>IF(U90="5-ти элем",(AA90*2*2*AC90/1000),IF(U90="витрина",(AA90*2*AC90/1000),0))</f>
        <v>0</v>
      </c>
      <c r="AI90" s="185">
        <f>IF(U90="5-ти элем",(16*T90),IF(U90="3-х элем",(12*T90),IF(U90="витрина",(16*T90),0)))</f>
        <v>0</v>
      </c>
      <c r="AJ90" s="211">
        <f>AF90+AE90</f>
        <v>0</v>
      </c>
      <c r="AK90" s="189">
        <f t="shared" ref="AK90" si="563">AD90</f>
        <v>0</v>
      </c>
      <c r="AL90" s="185">
        <f t="shared" ref="AL90" si="564">AK90</f>
        <v>0</v>
      </c>
      <c r="AM90" s="185">
        <f t="shared" ref="AM90" si="565">IF(U90="Гладкий",AK90, 0)</f>
        <v>0</v>
      </c>
      <c r="AN90" s="190">
        <f t="shared" ref="AN90" si="566">IF(U90="Гладкий",AK90, 0)</f>
        <v>0</v>
      </c>
      <c r="AO90" s="180"/>
      <c r="AP90" s="172">
        <f t="shared" ref="AP90:AP91" si="567">(AA90*AB90*AC90)/1000000</f>
        <v>0</v>
      </c>
      <c r="AQ90" s="168">
        <f t="shared" ref="AQ90:AQ92" si="568">AD90</f>
        <v>0</v>
      </c>
      <c r="AR90" s="172">
        <f>AF90+AF91+AE90</f>
        <v>0</v>
      </c>
      <c r="AS90" s="207" t="s">
        <v>248</v>
      </c>
      <c r="AT90" s="184"/>
      <c r="AU90" s="184"/>
      <c r="AV90" s="184"/>
      <c r="AW90" s="184"/>
      <c r="AX90" s="184"/>
      <c r="AY90" s="138"/>
    </row>
    <row r="91" spans="1:51" x14ac:dyDescent="0.25">
      <c r="A91" s="184"/>
      <c r="B91" s="184"/>
      <c r="C91" s="184"/>
      <c r="D91" s="184"/>
      <c r="E91" s="184"/>
      <c r="F91" s="184"/>
      <c r="G91" s="184"/>
      <c r="H91" s="184"/>
      <c r="I91" s="184"/>
      <c r="J91" s="184"/>
      <c r="K91" s="184"/>
      <c r="L91" s="184"/>
      <c r="M91" s="184"/>
      <c r="N91" s="184"/>
      <c r="O91" s="184"/>
      <c r="P91" s="184"/>
      <c r="Q91" s="356"/>
      <c r="R91" s="359"/>
      <c r="S91" s="359"/>
      <c r="T91" s="359"/>
      <c r="U91" s="359"/>
      <c r="V91" s="359"/>
      <c r="W91" s="359"/>
      <c r="X91" s="359"/>
      <c r="Y91" s="181">
        <f>W90</f>
        <v>18</v>
      </c>
      <c r="Z91" s="192" t="s">
        <v>15</v>
      </c>
      <c r="AA91" s="181">
        <f>IF(U90="5-ти элем",(S90-160),IF(U90="витрина",(S90-160),IF(U90="3-х элем",(S90-160),0)))</f>
        <v>0</v>
      </c>
      <c r="AB91" s="181">
        <f>IF(U90="5-ти элем",164,IF(U90="витрина",164,IF(U90="3-х элем",R90,0)))</f>
        <v>0</v>
      </c>
      <c r="AC91" s="185">
        <f t="shared" ref="AC91" si="569">IF(AA91&gt;0,T90,0)</f>
        <v>0</v>
      </c>
      <c r="AD91" s="181">
        <f>H43</f>
        <v>0</v>
      </c>
      <c r="AE91" s="352"/>
      <c r="AF91" s="193">
        <f t="shared" ref="AF91" si="570">IF(U90="3-х элем",(AB91*2*AC91/1000),IF(U90="5-ти элем",((AA91+AB91)*2*AC91/1000),IF(U90="витрина",((AA91+AB91)*2*AC91/1000),0)))</f>
        <v>0</v>
      </c>
      <c r="AG91" s="187">
        <f t="shared" ref="AG91" si="571">IF(U90="5-ти элем",((AA91+AB91)*2+AA91)*AC91/1000,IF(U90="Витрина",((AA91+AB91)*2+AA91)*AC91/1000,IF(U90="3-х элем",(AA91+AB91)*2*AC91/1000,0)))</f>
        <v>0</v>
      </c>
      <c r="AH91" s="193">
        <f>IF(U90="5-ти элем",(AA91*2*2*AC91/1000),IF(U90="витрина",(AA91*2*AC91/1000),0))</f>
        <v>0</v>
      </c>
      <c r="AI91" s="181"/>
      <c r="AJ91" s="212">
        <f>AF91</f>
        <v>0</v>
      </c>
      <c r="AK91" s="195">
        <f t="shared" ref="AK91" si="572">IF(U90="5-ти элем",AK90,IF(U90="витрина",AK90,0))</f>
        <v>0</v>
      </c>
      <c r="AL91" s="181">
        <f t="shared" ref="AL91" si="573">IF(U90="5-ти элем",AK90,IF(U90="витрина",AK90,0))</f>
        <v>0</v>
      </c>
      <c r="AM91" s="181">
        <f t="shared" ref="AM91" si="574">IF(U90="Гладкий", 0,AK90)</f>
        <v>0</v>
      </c>
      <c r="AN91" s="196">
        <f t="shared" ref="AN91" si="575">IF(U90="Гладкий", 0,AK90)</f>
        <v>0</v>
      </c>
      <c r="AO91" s="197">
        <f>IF(U90="5-ти элем","Paz 8 mm",IF(U90="витрина","Paz 4 mm",0))</f>
        <v>0</v>
      </c>
      <c r="AP91" s="172">
        <f t="shared" si="567"/>
        <v>0</v>
      </c>
      <c r="AQ91" s="168">
        <f t="shared" si="568"/>
        <v>0</v>
      </c>
      <c r="AR91" s="172"/>
      <c r="AS91" s="207" t="s">
        <v>249</v>
      </c>
      <c r="AT91" s="184"/>
      <c r="AU91" s="184"/>
      <c r="AV91" s="184"/>
      <c r="AW91" s="184"/>
      <c r="AX91" s="184"/>
      <c r="AY91" s="138"/>
    </row>
    <row r="92" spans="1:51" ht="15.75" thickBot="1" x14ac:dyDescent="0.3">
      <c r="A92" s="184"/>
      <c r="B92" s="184"/>
      <c r="C92" s="184"/>
      <c r="D92" s="184"/>
      <c r="E92" s="184"/>
      <c r="F92" s="184"/>
      <c r="G92" s="184"/>
      <c r="H92" s="184"/>
      <c r="I92" s="184"/>
      <c r="J92" s="184"/>
      <c r="K92" s="184"/>
      <c r="L92" s="184"/>
      <c r="M92" s="184"/>
      <c r="N92" s="184"/>
      <c r="O92" s="184"/>
      <c r="P92" s="184"/>
      <c r="Q92" s="357"/>
      <c r="R92" s="360"/>
      <c r="S92" s="360"/>
      <c r="T92" s="360"/>
      <c r="U92" s="360"/>
      <c r="V92" s="360"/>
      <c r="W92" s="360"/>
      <c r="X92" s="360"/>
      <c r="Y92" s="199">
        <f>X90</f>
        <v>0</v>
      </c>
      <c r="Z92" s="200" t="s">
        <v>1</v>
      </c>
      <c r="AA92" s="199">
        <f>IF(U90="5-ти элем",(R90-160+19),IF(U90="витрина",(R90-160+19),0))</f>
        <v>0</v>
      </c>
      <c r="AB92" s="199">
        <f>IF(U90="5-ти элем",(S90-160+19),IF(U90="витрина",(S90-160+19),0))</f>
        <v>0</v>
      </c>
      <c r="AC92" s="199">
        <f t="shared" ref="AC92" si="576">IF(U90="Гладкий",0,IF(U90="3-х элем",0,T90))</f>
        <v>0</v>
      </c>
      <c r="AD92" s="199">
        <f>IF(E43="Витрина","Стекло",H43)</f>
        <v>0</v>
      </c>
      <c r="AE92" s="353"/>
      <c r="AF92" s="199"/>
      <c r="AG92" s="201">
        <f t="shared" ref="AG92" si="577">IF(Y92=8,(AA92+AB92)*2*AC92/1000,0)</f>
        <v>0</v>
      </c>
      <c r="AH92" s="201">
        <v>0</v>
      </c>
      <c r="AI92" s="199"/>
      <c r="AJ92" s="213"/>
      <c r="AK92" s="203">
        <v>0</v>
      </c>
      <c r="AL92" s="199">
        <v>0</v>
      </c>
      <c r="AM92" s="199">
        <v>0</v>
      </c>
      <c r="AN92" s="202">
        <v>0</v>
      </c>
      <c r="AO92" s="204"/>
      <c r="AP92" s="172">
        <f>IF(AD92="Стекло",0,(AA92*AB92*AC92/1000000))</f>
        <v>0</v>
      </c>
      <c r="AQ92" s="168">
        <f t="shared" si="568"/>
        <v>0</v>
      </c>
      <c r="AR92" s="172"/>
      <c r="AS92" s="207" t="s">
        <v>250</v>
      </c>
      <c r="AT92" s="184"/>
      <c r="AU92" s="184"/>
      <c r="AV92" s="184"/>
      <c r="AW92" s="184"/>
      <c r="AX92" s="184"/>
      <c r="AY92" s="138"/>
    </row>
    <row r="93" spans="1:51" x14ac:dyDescent="0.25">
      <c r="A93" s="184"/>
      <c r="B93" s="184"/>
      <c r="C93" s="184"/>
      <c r="D93" s="184"/>
      <c r="E93" s="184"/>
      <c r="F93" s="184"/>
      <c r="G93" s="184"/>
      <c r="H93" s="184"/>
      <c r="I93" s="184"/>
      <c r="J93" s="184"/>
      <c r="K93" s="184"/>
      <c r="L93" s="184"/>
      <c r="M93" s="184"/>
      <c r="N93" s="184"/>
      <c r="O93" s="184"/>
      <c r="P93" s="184"/>
      <c r="Q93" s="184"/>
      <c r="R93" s="184"/>
      <c r="S93" s="184"/>
      <c r="T93" s="184"/>
      <c r="U93" s="184"/>
      <c r="V93" s="184">
        <f>SUM(V3:V92)</f>
        <v>0</v>
      </c>
      <c r="W93" s="184"/>
      <c r="X93" s="184"/>
      <c r="Y93" s="184"/>
      <c r="Z93" s="184"/>
      <c r="AA93" s="184"/>
      <c r="AB93" s="184"/>
      <c r="AC93" s="184">
        <f>SUM(AC3:AC92)</f>
        <v>0</v>
      </c>
      <c r="AD93" s="184"/>
      <c r="AE93" s="184"/>
      <c r="AF93" s="184"/>
      <c r="AG93" s="184"/>
      <c r="AH93" s="184"/>
      <c r="AI93" s="184"/>
      <c r="AJ93" s="184"/>
      <c r="AK93" s="184"/>
      <c r="AL93" s="184"/>
      <c r="AM93" s="184"/>
      <c r="AN93" s="184"/>
      <c r="AO93" s="214"/>
      <c r="AP93" s="215"/>
      <c r="AQ93" s="184"/>
      <c r="AR93" s="184"/>
      <c r="AS93" s="216"/>
      <c r="AT93" s="184"/>
      <c r="AU93" s="184"/>
      <c r="AV93" s="184"/>
      <c r="AW93" s="184"/>
      <c r="AX93" s="184"/>
      <c r="AY93" s="138"/>
    </row>
    <row r="94" spans="1:51" x14ac:dyDescent="0.25">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214" t="s">
        <v>51</v>
      </c>
      <c r="AP94" s="215">
        <f>AP5+AP8+AP11+AP14+AP17+AP20+AP23+AP26+AP29+AP32+AP35+AP38+AP41+AP44+AP47+AP50+AP53+AP56+AP59+AP62+AP65+AP68+AP71+AP74+AP77+AP80+AP83+AP86+AP89+AP92</f>
        <v>0</v>
      </c>
      <c r="AQ94" s="184"/>
      <c r="AR94" s="184"/>
      <c r="AS94" s="216"/>
      <c r="AT94" s="184"/>
      <c r="AU94" s="184"/>
      <c r="AV94" s="184"/>
      <c r="AW94" s="184"/>
      <c r="AX94" s="184"/>
      <c r="AY94" s="138"/>
    </row>
    <row r="95" spans="1:51" x14ac:dyDescent="0.25">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214"/>
      <c r="AP95" s="215"/>
      <c r="AQ95" s="184"/>
      <c r="AR95" s="184"/>
      <c r="AS95" s="216"/>
      <c r="AT95" s="184"/>
      <c r="AU95" s="184"/>
      <c r="AV95" s="184"/>
      <c r="AW95" s="184"/>
      <c r="AX95" s="184"/>
      <c r="AY95" s="138"/>
    </row>
    <row r="96" spans="1:51" x14ac:dyDescent="0.25">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214" t="s">
        <v>52</v>
      </c>
      <c r="AP96" s="215">
        <f>AP3+AP4+AP6+AP7+AP9+AP10+AP12+AP13+AP15+AP16+AP18+AP19+AP21+AP22+AP24+AP25+AP27+AP28+AP30+AP31+AP33+AP34+AP36+AP37+AP39+AP40+AP42+AP43+AP45+AP46+AP48+AP49+AP51+AP52+AP54+AP55+AP57+AP58+AP60+AP61+AP63+AP64+AP66+AP67+AP69+AP70+AP72+AP73+AP75+AP76+AP78+AP79+AP81+AP82+AP84+AP85+AP87+AP88+AP90+AP91</f>
        <v>0</v>
      </c>
      <c r="AQ96" s="184"/>
      <c r="AR96" s="184"/>
      <c r="AS96" s="216"/>
      <c r="AT96" s="184"/>
      <c r="AU96" s="184"/>
      <c r="AV96" s="184"/>
      <c r="AW96" s="184"/>
      <c r="AX96" s="184"/>
      <c r="AY96" s="138"/>
    </row>
    <row r="97" spans="1:51" x14ac:dyDescent="0.25">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214"/>
      <c r="AP97" s="215"/>
      <c r="AQ97" s="184"/>
      <c r="AR97" s="184"/>
      <c r="AS97" s="216"/>
      <c r="AT97" s="184"/>
      <c r="AU97" s="184"/>
      <c r="AV97" s="184"/>
      <c r="AW97" s="184"/>
      <c r="AX97" s="184"/>
      <c r="AY97" s="138"/>
    </row>
    <row r="98" spans="1:51" x14ac:dyDescent="0.25">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214"/>
      <c r="AP98" s="215"/>
      <c r="AQ98" s="184"/>
      <c r="AR98" s="184"/>
      <c r="AS98" s="216"/>
      <c r="AT98" s="184"/>
      <c r="AU98" s="184"/>
      <c r="AV98" s="184"/>
      <c r="AW98" s="184"/>
      <c r="AX98" s="184"/>
      <c r="AY98" s="138"/>
    </row>
    <row r="99" spans="1:51" x14ac:dyDescent="0.25">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214"/>
      <c r="AP99" s="215"/>
      <c r="AQ99" s="184"/>
      <c r="AR99" s="184"/>
      <c r="AS99" s="216"/>
      <c r="AT99" s="184"/>
      <c r="AU99" s="184"/>
      <c r="AV99" s="184"/>
      <c r="AW99" s="184"/>
      <c r="AX99" s="184"/>
      <c r="AY99" s="138"/>
    </row>
    <row r="100" spans="1:51" x14ac:dyDescent="0.2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214"/>
      <c r="AP100" s="215"/>
      <c r="AQ100" s="184"/>
      <c r="AR100" s="184"/>
      <c r="AS100" s="216"/>
      <c r="AT100" s="184"/>
      <c r="AU100" s="184"/>
      <c r="AV100" s="184"/>
      <c r="AW100" s="184"/>
      <c r="AX100" s="184"/>
      <c r="AY100" s="138"/>
    </row>
    <row r="101" spans="1:51" x14ac:dyDescent="0.2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214"/>
      <c r="AP101" s="215"/>
      <c r="AQ101" s="184"/>
      <c r="AR101" s="184"/>
      <c r="AS101" s="216"/>
      <c r="AT101" s="184"/>
      <c r="AU101" s="184"/>
      <c r="AV101" s="184"/>
      <c r="AW101" s="184"/>
      <c r="AX101" s="184"/>
      <c r="AY101" s="138"/>
    </row>
    <row r="102" spans="1:51" x14ac:dyDescent="0.2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214"/>
      <c r="AP102" s="215"/>
      <c r="AQ102" s="184"/>
      <c r="AR102" s="184"/>
      <c r="AS102" s="216"/>
      <c r="AT102" s="184"/>
      <c r="AU102" s="184"/>
      <c r="AV102" s="184"/>
      <c r="AW102" s="184"/>
      <c r="AX102" s="184"/>
      <c r="AY102" s="138"/>
    </row>
    <row r="103" spans="1:51" x14ac:dyDescent="0.2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214"/>
      <c r="AP103" s="215"/>
      <c r="AQ103" s="184"/>
      <c r="AR103" s="184"/>
      <c r="AS103" s="216"/>
      <c r="AT103" s="184"/>
      <c r="AU103" s="184"/>
      <c r="AV103" s="184"/>
      <c r="AW103" s="184"/>
      <c r="AX103" s="184"/>
      <c r="AY103" s="138"/>
    </row>
    <row r="104" spans="1:51" x14ac:dyDescent="0.2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214"/>
      <c r="AP104" s="215"/>
      <c r="AQ104" s="184"/>
      <c r="AR104" s="184"/>
      <c r="AS104" s="216"/>
      <c r="AT104" s="184"/>
      <c r="AU104" s="184"/>
      <c r="AV104" s="184"/>
      <c r="AW104" s="184"/>
      <c r="AX104" s="184"/>
      <c r="AY104" s="138"/>
    </row>
    <row r="105" spans="1:51" x14ac:dyDescent="0.2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214"/>
      <c r="AP105" s="215"/>
      <c r="AQ105" s="184"/>
      <c r="AR105" s="184"/>
      <c r="AS105" s="216"/>
      <c r="AT105" s="184"/>
      <c r="AU105" s="184"/>
      <c r="AV105" s="184"/>
      <c r="AW105" s="184"/>
      <c r="AX105" s="184"/>
      <c r="AY105" s="138"/>
    </row>
    <row r="106" spans="1:51" x14ac:dyDescent="0.2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214"/>
      <c r="AP106" s="215"/>
      <c r="AQ106" s="184"/>
      <c r="AR106" s="184"/>
      <c r="AS106" s="216"/>
      <c r="AT106" s="184"/>
      <c r="AU106" s="184"/>
      <c r="AV106" s="184"/>
      <c r="AW106" s="184"/>
      <c r="AX106" s="184"/>
      <c r="AY106" s="138"/>
    </row>
    <row r="107" spans="1:51" x14ac:dyDescent="0.25">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214"/>
      <c r="AP107" s="215"/>
      <c r="AQ107" s="184"/>
      <c r="AR107" s="184"/>
      <c r="AS107" s="216"/>
      <c r="AT107" s="184"/>
      <c r="AU107" s="184"/>
      <c r="AV107" s="184"/>
      <c r="AW107" s="184"/>
      <c r="AX107" s="184"/>
      <c r="AY107" s="138"/>
    </row>
    <row r="108" spans="1:51" x14ac:dyDescent="0.25">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214"/>
      <c r="AP108" s="215"/>
      <c r="AQ108" s="184"/>
      <c r="AR108" s="184"/>
      <c r="AS108" s="216"/>
      <c r="AT108" s="184"/>
      <c r="AU108" s="184"/>
      <c r="AV108" s="184"/>
      <c r="AW108" s="184"/>
      <c r="AX108" s="184"/>
      <c r="AY108" s="138"/>
    </row>
    <row r="109" spans="1:51" x14ac:dyDescent="0.25">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214"/>
      <c r="AP109" s="215"/>
      <c r="AQ109" s="184"/>
      <c r="AR109" s="184"/>
      <c r="AS109" s="216"/>
      <c r="AT109" s="184"/>
      <c r="AU109" s="184"/>
      <c r="AV109" s="184"/>
      <c r="AW109" s="184"/>
      <c r="AX109" s="184"/>
      <c r="AY109" s="138"/>
    </row>
    <row r="110" spans="1:51" x14ac:dyDescent="0.25">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9"/>
      <c r="AP110" s="140"/>
      <c r="AQ110" s="138"/>
      <c r="AR110" s="138"/>
      <c r="AS110" s="141"/>
      <c r="AT110" s="138"/>
      <c r="AU110" s="138"/>
      <c r="AV110" s="138"/>
      <c r="AW110" s="138"/>
      <c r="AX110" s="138"/>
      <c r="AY110" s="138"/>
    </row>
    <row r="111" spans="1:51" x14ac:dyDescent="0.25">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9"/>
      <c r="AP111" s="140"/>
      <c r="AQ111" s="138"/>
      <c r="AR111" s="138"/>
      <c r="AS111" s="141"/>
      <c r="AT111" s="138"/>
      <c r="AU111" s="138"/>
      <c r="AV111" s="138"/>
      <c r="AW111" s="138"/>
      <c r="AX111" s="138"/>
      <c r="AY111" s="138"/>
    </row>
    <row r="112" spans="1:51" x14ac:dyDescent="0.25">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9"/>
      <c r="AP112" s="140"/>
      <c r="AQ112" s="138"/>
      <c r="AR112" s="138"/>
      <c r="AS112" s="141"/>
      <c r="AT112" s="138"/>
      <c r="AU112" s="138"/>
      <c r="AV112" s="138"/>
      <c r="AW112" s="138"/>
      <c r="AX112" s="138"/>
      <c r="AY112" s="138"/>
    </row>
    <row r="113" spans="1:51" x14ac:dyDescent="0.25">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9"/>
      <c r="AP113" s="140"/>
      <c r="AQ113" s="138"/>
      <c r="AR113" s="138"/>
      <c r="AS113" s="141"/>
      <c r="AT113" s="138"/>
      <c r="AU113" s="138"/>
      <c r="AV113" s="138"/>
      <c r="AW113" s="138"/>
      <c r="AX113" s="138"/>
      <c r="AY113" s="138"/>
    </row>
    <row r="114" spans="1:51" x14ac:dyDescent="0.25">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9"/>
      <c r="AP114" s="140"/>
      <c r="AQ114" s="138"/>
      <c r="AR114" s="138"/>
      <c r="AS114" s="141"/>
      <c r="AT114" s="138"/>
      <c r="AU114" s="138"/>
      <c r="AV114" s="138"/>
      <c r="AW114" s="138"/>
      <c r="AX114" s="138"/>
      <c r="AY114" s="138"/>
    </row>
    <row r="115" spans="1:51" x14ac:dyDescent="0.25">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9"/>
      <c r="AP115" s="140"/>
      <c r="AQ115" s="138"/>
      <c r="AR115" s="138"/>
      <c r="AS115" s="141"/>
      <c r="AT115" s="138"/>
      <c r="AU115" s="138"/>
      <c r="AV115" s="138"/>
      <c r="AW115" s="138"/>
      <c r="AX115" s="138"/>
      <c r="AY115" s="138"/>
    </row>
    <row r="116" spans="1:51" x14ac:dyDescent="0.25">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9"/>
      <c r="AP116" s="140"/>
      <c r="AQ116" s="138"/>
      <c r="AR116" s="138"/>
      <c r="AS116" s="141"/>
      <c r="AT116" s="138"/>
      <c r="AU116" s="138"/>
      <c r="AV116" s="138"/>
      <c r="AW116" s="138"/>
      <c r="AX116" s="138"/>
      <c r="AY116" s="138"/>
    </row>
    <row r="117" spans="1:51" x14ac:dyDescent="0.25">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9"/>
      <c r="AP117" s="140"/>
      <c r="AQ117" s="138"/>
      <c r="AR117" s="138"/>
      <c r="AS117" s="141"/>
      <c r="AT117" s="138"/>
      <c r="AU117" s="138"/>
      <c r="AV117" s="138"/>
      <c r="AW117" s="138"/>
      <c r="AX117" s="138"/>
      <c r="AY117" s="138"/>
    </row>
    <row r="118" spans="1:51" x14ac:dyDescent="0.25">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9"/>
      <c r="AP118" s="140"/>
      <c r="AQ118" s="138"/>
      <c r="AR118" s="138"/>
      <c r="AS118" s="141"/>
      <c r="AT118" s="138"/>
      <c r="AU118" s="138"/>
      <c r="AV118" s="138"/>
      <c r="AW118" s="138"/>
      <c r="AX118" s="138"/>
      <c r="AY118" s="138"/>
    </row>
    <row r="119" spans="1:51" x14ac:dyDescent="0.25">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9"/>
      <c r="AP119" s="140"/>
      <c r="AQ119" s="138"/>
      <c r="AR119" s="138"/>
      <c r="AS119" s="141"/>
      <c r="AT119" s="138"/>
      <c r="AU119" s="138"/>
      <c r="AV119" s="138"/>
      <c r="AW119" s="138"/>
      <c r="AX119" s="138"/>
      <c r="AY119" s="138"/>
    </row>
    <row r="120" spans="1:51" x14ac:dyDescent="0.25">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9"/>
      <c r="AP120" s="140"/>
      <c r="AQ120" s="138"/>
      <c r="AR120" s="138"/>
      <c r="AS120" s="141"/>
      <c r="AT120" s="138"/>
      <c r="AU120" s="138"/>
      <c r="AV120" s="138"/>
      <c r="AW120" s="138"/>
      <c r="AX120" s="138"/>
      <c r="AY120" s="138"/>
    </row>
    <row r="121" spans="1:51" x14ac:dyDescent="0.25">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9"/>
      <c r="AP121" s="140"/>
      <c r="AQ121" s="138"/>
      <c r="AR121" s="138"/>
      <c r="AS121" s="141"/>
      <c r="AT121" s="138"/>
      <c r="AU121" s="138"/>
      <c r="AV121" s="138"/>
      <c r="AW121" s="138"/>
      <c r="AX121" s="138"/>
      <c r="AY121" s="138"/>
    </row>
    <row r="122" spans="1:51" x14ac:dyDescent="0.25">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9"/>
      <c r="AP122" s="140"/>
      <c r="AQ122" s="138"/>
      <c r="AR122" s="138"/>
      <c r="AS122" s="141"/>
      <c r="AT122" s="138"/>
      <c r="AU122" s="138"/>
      <c r="AV122" s="138"/>
      <c r="AW122" s="138"/>
      <c r="AX122" s="138"/>
      <c r="AY122" s="138"/>
    </row>
    <row r="123" spans="1:51" x14ac:dyDescent="0.25">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9"/>
      <c r="AP123" s="140"/>
      <c r="AQ123" s="138"/>
      <c r="AR123" s="138"/>
      <c r="AS123" s="141"/>
      <c r="AT123" s="138"/>
      <c r="AU123" s="138"/>
      <c r="AV123" s="138"/>
      <c r="AW123" s="138"/>
      <c r="AX123" s="138"/>
      <c r="AY123" s="138"/>
    </row>
  </sheetData>
  <sheetProtection password="C668" sheet="1" objects="1" scenarios="1" selectLockedCells="1" selectUnlockedCells="1"/>
  <mergeCells count="284">
    <mergeCell ref="F6:G6"/>
    <mergeCell ref="Q90:Q92"/>
    <mergeCell ref="R90:R92"/>
    <mergeCell ref="S90:S92"/>
    <mergeCell ref="T90:T92"/>
    <mergeCell ref="U90:U92"/>
    <mergeCell ref="V90:V92"/>
    <mergeCell ref="W90:W92"/>
    <mergeCell ref="X90:X92"/>
    <mergeCell ref="Q84:Q86"/>
    <mergeCell ref="R84:R86"/>
    <mergeCell ref="S84:S86"/>
    <mergeCell ref="T84:T86"/>
    <mergeCell ref="U84:U86"/>
    <mergeCell ref="V84:V86"/>
    <mergeCell ref="W84:W86"/>
    <mergeCell ref="X84:X86"/>
    <mergeCell ref="Q78:Q80"/>
    <mergeCell ref="R78:R80"/>
    <mergeCell ref="S78:S80"/>
    <mergeCell ref="T78:T80"/>
    <mergeCell ref="U78:U80"/>
    <mergeCell ref="V78:V80"/>
    <mergeCell ref="W78:W80"/>
    <mergeCell ref="AE90:AE92"/>
    <mergeCell ref="Q87:Q89"/>
    <mergeCell ref="R87:R89"/>
    <mergeCell ref="S87:S89"/>
    <mergeCell ref="T87:T89"/>
    <mergeCell ref="U87:U89"/>
    <mergeCell ref="V87:V89"/>
    <mergeCell ref="W87:W89"/>
    <mergeCell ref="X87:X89"/>
    <mergeCell ref="AE87:AE89"/>
    <mergeCell ref="AE84:AE86"/>
    <mergeCell ref="Q81:Q83"/>
    <mergeCell ref="R81:R83"/>
    <mergeCell ref="S81:S83"/>
    <mergeCell ref="T81:T83"/>
    <mergeCell ref="U81:U83"/>
    <mergeCell ref="V81:V83"/>
    <mergeCell ref="W81:W83"/>
    <mergeCell ref="X81:X83"/>
    <mergeCell ref="AE81:AE83"/>
    <mergeCell ref="X78:X80"/>
    <mergeCell ref="AE78:AE80"/>
    <mergeCell ref="Q75:Q77"/>
    <mergeCell ref="R75:R77"/>
    <mergeCell ref="S75:S77"/>
    <mergeCell ref="T75:T77"/>
    <mergeCell ref="U75:U77"/>
    <mergeCell ref="V75:V77"/>
    <mergeCell ref="W75:W77"/>
    <mergeCell ref="X75:X77"/>
    <mergeCell ref="AE75:AE77"/>
    <mergeCell ref="Q72:Q74"/>
    <mergeCell ref="R72:R74"/>
    <mergeCell ref="S72:S74"/>
    <mergeCell ref="T72:T74"/>
    <mergeCell ref="U72:U74"/>
    <mergeCell ref="V72:V74"/>
    <mergeCell ref="W72:W74"/>
    <mergeCell ref="X72:X74"/>
    <mergeCell ref="AE72:AE74"/>
    <mergeCell ref="Q69:Q71"/>
    <mergeCell ref="R69:R71"/>
    <mergeCell ref="S69:S71"/>
    <mergeCell ref="T69:T71"/>
    <mergeCell ref="U69:U71"/>
    <mergeCell ref="V69:V71"/>
    <mergeCell ref="W69:W71"/>
    <mergeCell ref="X69:X71"/>
    <mergeCell ref="AE69:AE71"/>
    <mergeCell ref="Q66:Q68"/>
    <mergeCell ref="R66:R68"/>
    <mergeCell ref="S66:S68"/>
    <mergeCell ref="T66:T68"/>
    <mergeCell ref="U66:U68"/>
    <mergeCell ref="V66:V68"/>
    <mergeCell ref="W66:W68"/>
    <mergeCell ref="X66:X68"/>
    <mergeCell ref="AE66:AE68"/>
    <mergeCell ref="Q63:Q65"/>
    <mergeCell ref="R63:R65"/>
    <mergeCell ref="S63:S65"/>
    <mergeCell ref="T63:T65"/>
    <mergeCell ref="U63:U65"/>
    <mergeCell ref="V63:V65"/>
    <mergeCell ref="W63:W65"/>
    <mergeCell ref="X63:X65"/>
    <mergeCell ref="AE63:AE65"/>
    <mergeCell ref="Q60:Q62"/>
    <mergeCell ref="R60:R62"/>
    <mergeCell ref="S60:S62"/>
    <mergeCell ref="T60:T62"/>
    <mergeCell ref="U60:U62"/>
    <mergeCell ref="V60:V62"/>
    <mergeCell ref="W60:W62"/>
    <mergeCell ref="X60:X62"/>
    <mergeCell ref="AE60:AE62"/>
    <mergeCell ref="Q57:Q59"/>
    <mergeCell ref="R57:R59"/>
    <mergeCell ref="S57:S59"/>
    <mergeCell ref="T57:T59"/>
    <mergeCell ref="U57:U59"/>
    <mergeCell ref="V57:V59"/>
    <mergeCell ref="W57:W59"/>
    <mergeCell ref="X57:X59"/>
    <mergeCell ref="AE57:AE59"/>
    <mergeCell ref="V30:V32"/>
    <mergeCell ref="V33:V35"/>
    <mergeCell ref="V36:V38"/>
    <mergeCell ref="V39:V41"/>
    <mergeCell ref="V42:V44"/>
    <mergeCell ref="V45:V47"/>
    <mergeCell ref="V48:V50"/>
    <mergeCell ref="V51:V53"/>
    <mergeCell ref="V3:V5"/>
    <mergeCell ref="V6:V8"/>
    <mergeCell ref="V9:V11"/>
    <mergeCell ref="V12:V14"/>
    <mergeCell ref="V15:V17"/>
    <mergeCell ref="V18:V20"/>
    <mergeCell ref="V21:V23"/>
    <mergeCell ref="V24:V26"/>
    <mergeCell ref="V27:V29"/>
    <mergeCell ref="W48:W50"/>
    <mergeCell ref="X48:X50"/>
    <mergeCell ref="W51:W53"/>
    <mergeCell ref="X51:X53"/>
    <mergeCell ref="G12:G13"/>
    <mergeCell ref="A1:H2"/>
    <mergeCell ref="F12:F13"/>
    <mergeCell ref="H12:H13"/>
    <mergeCell ref="E12:E13"/>
    <mergeCell ref="B12:C12"/>
    <mergeCell ref="D12:D13"/>
    <mergeCell ref="A6:C9"/>
    <mergeCell ref="W33:W35"/>
    <mergeCell ref="X33:X35"/>
    <mergeCell ref="W36:W38"/>
    <mergeCell ref="X36:X38"/>
    <mergeCell ref="W39:W41"/>
    <mergeCell ref="X39:X41"/>
    <mergeCell ref="W42:W44"/>
    <mergeCell ref="X42:X44"/>
    <mergeCell ref="W45:W47"/>
    <mergeCell ref="X45:X47"/>
    <mergeCell ref="W18:W20"/>
    <mergeCell ref="X18:X20"/>
    <mergeCell ref="W21:W23"/>
    <mergeCell ref="X21:X23"/>
    <mergeCell ref="W24:W26"/>
    <mergeCell ref="X24:X26"/>
    <mergeCell ref="W27:W29"/>
    <mergeCell ref="X27:X29"/>
    <mergeCell ref="W30:W32"/>
    <mergeCell ref="X30:X32"/>
    <mergeCell ref="W3:W5"/>
    <mergeCell ref="X3:X5"/>
    <mergeCell ref="W6:W8"/>
    <mergeCell ref="X6:X8"/>
    <mergeCell ref="W9:W11"/>
    <mergeCell ref="X9:X11"/>
    <mergeCell ref="W12:W14"/>
    <mergeCell ref="X12:X14"/>
    <mergeCell ref="W15:W17"/>
    <mergeCell ref="X15:X17"/>
    <mergeCell ref="Q3:Q5"/>
    <mergeCell ref="R3:R5"/>
    <mergeCell ref="S3:S5"/>
    <mergeCell ref="T3:T5"/>
    <mergeCell ref="U3:U5"/>
    <mergeCell ref="AE3:AE5"/>
    <mergeCell ref="T15:T17"/>
    <mergeCell ref="Q18:Q20"/>
    <mergeCell ref="R18:R20"/>
    <mergeCell ref="S18:S20"/>
    <mergeCell ref="T18:T20"/>
    <mergeCell ref="R12:R14"/>
    <mergeCell ref="Q12:Q14"/>
    <mergeCell ref="Q15:Q17"/>
    <mergeCell ref="R15:R17"/>
    <mergeCell ref="S15:S17"/>
    <mergeCell ref="AE27:AE29"/>
    <mergeCell ref="AE30:AE32"/>
    <mergeCell ref="AE33:AE35"/>
    <mergeCell ref="AE6:AE8"/>
    <mergeCell ref="AE9:AE11"/>
    <mergeCell ref="AE12:AE14"/>
    <mergeCell ref="AE15:AE17"/>
    <mergeCell ref="AE18:AE20"/>
    <mergeCell ref="AG1:AJ1"/>
    <mergeCell ref="T33:T35"/>
    <mergeCell ref="AE51:AE53"/>
    <mergeCell ref="Q6:Q8"/>
    <mergeCell ref="R6:R8"/>
    <mergeCell ref="S6:S8"/>
    <mergeCell ref="T6:T8"/>
    <mergeCell ref="U6:U8"/>
    <mergeCell ref="Q9:Q11"/>
    <mergeCell ref="R9:R11"/>
    <mergeCell ref="S9:S11"/>
    <mergeCell ref="T9:T11"/>
    <mergeCell ref="U9:U11"/>
    <mergeCell ref="U12:U14"/>
    <mergeCell ref="U15:U17"/>
    <mergeCell ref="U18:U20"/>
    <mergeCell ref="T12:T14"/>
    <mergeCell ref="S12:S14"/>
    <mergeCell ref="AE36:AE38"/>
    <mergeCell ref="AE39:AE41"/>
    <mergeCell ref="AE42:AE44"/>
    <mergeCell ref="AE45:AE47"/>
    <mergeCell ref="AE48:AE50"/>
    <mergeCell ref="AE21:AE23"/>
    <mergeCell ref="AE24:AE26"/>
    <mergeCell ref="R36:R38"/>
    <mergeCell ref="U30:U32"/>
    <mergeCell ref="U33:U35"/>
    <mergeCell ref="U36:U38"/>
    <mergeCell ref="U39:U41"/>
    <mergeCell ref="U42:U44"/>
    <mergeCell ref="Q27:Q29"/>
    <mergeCell ref="R27:R29"/>
    <mergeCell ref="S27:S29"/>
    <mergeCell ref="T27:T29"/>
    <mergeCell ref="U27:U29"/>
    <mergeCell ref="S36:S38"/>
    <mergeCell ref="T36:T38"/>
    <mergeCell ref="Q39:Q41"/>
    <mergeCell ref="R39:R41"/>
    <mergeCell ref="S39:S41"/>
    <mergeCell ref="T39:T41"/>
    <mergeCell ref="Q30:Q32"/>
    <mergeCell ref="R30:R32"/>
    <mergeCell ref="S30:S32"/>
    <mergeCell ref="T30:T32"/>
    <mergeCell ref="Q33:Q35"/>
    <mergeCell ref="R33:R35"/>
    <mergeCell ref="S33:S35"/>
    <mergeCell ref="AK1:AN1"/>
    <mergeCell ref="J2:L2"/>
    <mergeCell ref="J8:L8"/>
    <mergeCell ref="Q1:U1"/>
    <mergeCell ref="Q51:Q53"/>
    <mergeCell ref="R51:R53"/>
    <mergeCell ref="S51:S53"/>
    <mergeCell ref="T51:T53"/>
    <mergeCell ref="U51:U53"/>
    <mergeCell ref="U45:U47"/>
    <mergeCell ref="Q48:Q50"/>
    <mergeCell ref="R48:R50"/>
    <mergeCell ref="S48:S50"/>
    <mergeCell ref="T48:T50"/>
    <mergeCell ref="U48:U50"/>
    <mergeCell ref="Q42:Q44"/>
    <mergeCell ref="R42:R44"/>
    <mergeCell ref="S42:S44"/>
    <mergeCell ref="T42:T44"/>
    <mergeCell ref="Q45:Q47"/>
    <mergeCell ref="R45:R47"/>
    <mergeCell ref="S45:S47"/>
    <mergeCell ref="T45:T47"/>
    <mergeCell ref="Q36:Q38"/>
    <mergeCell ref="Q54:Q56"/>
    <mergeCell ref="R54:R56"/>
    <mergeCell ref="S54:S56"/>
    <mergeCell ref="T54:T56"/>
    <mergeCell ref="U54:U56"/>
    <mergeCell ref="V54:V56"/>
    <mergeCell ref="W54:W56"/>
    <mergeCell ref="X54:X56"/>
    <mergeCell ref="AE54:AE56"/>
    <mergeCell ref="U24:U26"/>
    <mergeCell ref="T24:T26"/>
    <mergeCell ref="S24:S26"/>
    <mergeCell ref="R24:R26"/>
    <mergeCell ref="Q24:Q26"/>
    <mergeCell ref="U21:U23"/>
    <mergeCell ref="T21:T23"/>
    <mergeCell ref="S21:S23"/>
    <mergeCell ref="R21:R23"/>
    <mergeCell ref="Q21:Q23"/>
  </mergeCells>
  <pageMargins left="0.23622047244094491" right="0.23622047244094491" top="0.74803149606299213" bottom="0.74803149606299213" header="0.31496062992125984" footer="0.31496062992125984"/>
  <pageSetup paperSize="9" scale="69" orientation="landscape" r:id="rId1"/>
  <ignoredErrors>
    <ignoredError sqref="AG5" formula="1"/>
    <ignoredError sqref="B14:B31 H14:H43 B32:B43 C14:C43 D14:D43 E14:E4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N1" workbookViewId="0">
      <selection sqref="A1:M1048576"/>
    </sheetView>
  </sheetViews>
  <sheetFormatPr defaultColWidth="8.85546875" defaultRowHeight="15" x14ac:dyDescent="0.25"/>
  <cols>
    <col min="1" max="6" width="0" style="2" hidden="1" customWidth="1"/>
    <col min="7" max="12" width="18.28515625" style="2" hidden="1" customWidth="1"/>
    <col min="13" max="13" width="0" style="2" hidden="1" customWidth="1"/>
    <col min="14" max="16384" width="8.85546875" style="2"/>
  </cols>
  <sheetData>
    <row r="1" spans="1:13" x14ac:dyDescent="0.25">
      <c r="A1" s="253">
        <v>1</v>
      </c>
      <c r="B1" s="254">
        <f>Бланк!AA3</f>
        <v>0</v>
      </c>
      <c r="C1" s="254">
        <f>Бланк!AB3</f>
        <v>164</v>
      </c>
      <c r="D1" s="254">
        <f>Бланк!AC3</f>
        <v>0</v>
      </c>
      <c r="E1" s="254"/>
      <c r="F1" s="254">
        <f>Бланк!Y3</f>
        <v>18</v>
      </c>
      <c r="G1" s="254">
        <f>Бланк!AD3</f>
        <v>0</v>
      </c>
      <c r="H1" s="254">
        <f>Бланк!AK3</f>
        <v>0</v>
      </c>
      <c r="I1" s="254">
        <f>Бланк!AL3</f>
        <v>0</v>
      </c>
      <c r="J1" s="254">
        <f>Бланк!AM3</f>
        <v>0</v>
      </c>
      <c r="K1" s="254">
        <f>Бланк!AN3</f>
        <v>0</v>
      </c>
      <c r="L1" s="254">
        <f>Бланк!AO3</f>
        <v>0</v>
      </c>
      <c r="M1" s="255" t="str">
        <f>Бланк!AS3</f>
        <v>1.1</v>
      </c>
    </row>
    <row r="2" spans="1:13" s="3" customFormat="1" x14ac:dyDescent="0.25">
      <c r="A2" s="253">
        <v>2</v>
      </c>
      <c r="B2" s="254">
        <f>Бланк!AA4</f>
        <v>0</v>
      </c>
      <c r="C2" s="254">
        <f>Бланк!AB4</f>
        <v>0</v>
      </c>
      <c r="D2" s="254">
        <f>Бланк!AC4</f>
        <v>0</v>
      </c>
      <c r="E2" s="254"/>
      <c r="F2" s="254">
        <f>Бланк!Y4</f>
        <v>18</v>
      </c>
      <c r="G2" s="254">
        <f>Бланк!AD4</f>
        <v>0</v>
      </c>
      <c r="H2" s="254">
        <f>Бланк!AK4</f>
        <v>0</v>
      </c>
      <c r="I2" s="254">
        <f>Бланк!AL4</f>
        <v>0</v>
      </c>
      <c r="J2" s="254">
        <f>Бланк!AM4</f>
        <v>0</v>
      </c>
      <c r="K2" s="254">
        <f>Бланк!AN4</f>
        <v>0</v>
      </c>
      <c r="L2" s="254">
        <f>Бланк!AO4</f>
        <v>0</v>
      </c>
      <c r="M2" s="255" t="str">
        <f>Бланк!AS4</f>
        <v>1.2</v>
      </c>
    </row>
    <row r="3" spans="1:13" s="3" customFormat="1" x14ac:dyDescent="0.25">
      <c r="A3" s="253">
        <v>3</v>
      </c>
      <c r="B3" s="254">
        <f>Бланк!AA5</f>
        <v>0</v>
      </c>
      <c r="C3" s="254">
        <f>Бланк!AB5</f>
        <v>0</v>
      </c>
      <c r="D3" s="254">
        <f>Бланк!AC5</f>
        <v>0</v>
      </c>
      <c r="E3" s="254"/>
      <c r="F3" s="254">
        <f>Бланк!Y5</f>
        <v>0</v>
      </c>
      <c r="G3" s="254">
        <f>Бланк!AD5</f>
        <v>0</v>
      </c>
      <c r="H3" s="254">
        <f>Бланк!AK5</f>
        <v>0</v>
      </c>
      <c r="I3" s="254">
        <f>Бланк!AL5</f>
        <v>0</v>
      </c>
      <c r="J3" s="254">
        <f>Бланк!AM5</f>
        <v>0</v>
      </c>
      <c r="K3" s="254">
        <f>Бланк!AN5</f>
        <v>0</v>
      </c>
      <c r="L3" s="254">
        <f>Бланк!AO5</f>
        <v>0</v>
      </c>
      <c r="M3" s="255" t="str">
        <f>Бланк!AS5</f>
        <v>1.3</v>
      </c>
    </row>
    <row r="4" spans="1:13" s="3" customFormat="1" ht="15" customHeight="1" x14ac:dyDescent="0.25">
      <c r="A4" s="253">
        <v>4</v>
      </c>
      <c r="B4" s="254">
        <f>Бланк!AA6</f>
        <v>0</v>
      </c>
      <c r="C4" s="254">
        <f>Бланк!AB6</f>
        <v>164</v>
      </c>
      <c r="D4" s="254">
        <f>Бланк!AC6</f>
        <v>0</v>
      </c>
      <c r="E4" s="254"/>
      <c r="F4" s="254">
        <f>Бланк!Y6</f>
        <v>18</v>
      </c>
      <c r="G4" s="254">
        <f>Бланк!AD6</f>
        <v>0</v>
      </c>
      <c r="H4" s="254">
        <f>Бланк!AK6</f>
        <v>0</v>
      </c>
      <c r="I4" s="254">
        <f>Бланк!AL6</f>
        <v>0</v>
      </c>
      <c r="J4" s="254">
        <f>Бланк!AM6</f>
        <v>0</v>
      </c>
      <c r="K4" s="254">
        <f>Бланк!AN6</f>
        <v>0</v>
      </c>
      <c r="L4" s="254">
        <f>Бланк!AO6</f>
        <v>0</v>
      </c>
      <c r="M4" s="255" t="str">
        <f>Бланк!AS6</f>
        <v>2.1</v>
      </c>
    </row>
    <row r="5" spans="1:13" s="3" customFormat="1" ht="15" customHeight="1" x14ac:dyDescent="0.25">
      <c r="A5" s="253">
        <v>5</v>
      </c>
      <c r="B5" s="254">
        <f>Бланк!AA7</f>
        <v>0</v>
      </c>
      <c r="C5" s="254">
        <f>Бланк!AB7</f>
        <v>0</v>
      </c>
      <c r="D5" s="254">
        <f>Бланк!AC7</f>
        <v>0</v>
      </c>
      <c r="E5" s="254"/>
      <c r="F5" s="254">
        <f>Бланк!Y7</f>
        <v>18</v>
      </c>
      <c r="G5" s="254">
        <f>Бланк!AD7</f>
        <v>0</v>
      </c>
      <c r="H5" s="254">
        <f>Бланк!AK7</f>
        <v>0</v>
      </c>
      <c r="I5" s="254">
        <f>Бланк!AL7</f>
        <v>0</v>
      </c>
      <c r="J5" s="254">
        <f>Бланк!AM7</f>
        <v>0</v>
      </c>
      <c r="K5" s="254">
        <f>Бланк!AN7</f>
        <v>0</v>
      </c>
      <c r="L5" s="254">
        <f>Бланк!AO7</f>
        <v>0</v>
      </c>
      <c r="M5" s="255" t="str">
        <f>Бланк!AS7</f>
        <v>2.2</v>
      </c>
    </row>
    <row r="6" spans="1:13" s="3" customFormat="1" x14ac:dyDescent="0.25">
      <c r="A6" s="253">
        <v>6</v>
      </c>
      <c r="B6" s="254">
        <f>Бланк!AA8</f>
        <v>0</v>
      </c>
      <c r="C6" s="254">
        <f>Бланк!AB8</f>
        <v>0</v>
      </c>
      <c r="D6" s="254">
        <f>Бланк!AC8</f>
        <v>0</v>
      </c>
      <c r="E6" s="254"/>
      <c r="F6" s="254">
        <f>Бланк!Y8</f>
        <v>0</v>
      </c>
      <c r="G6" s="254">
        <f>Бланк!AD8</f>
        <v>0</v>
      </c>
      <c r="H6" s="254">
        <f>Бланк!AK8</f>
        <v>0</v>
      </c>
      <c r="I6" s="254">
        <f>Бланк!AL8</f>
        <v>0</v>
      </c>
      <c r="J6" s="254">
        <f>Бланк!AM8</f>
        <v>0</v>
      </c>
      <c r="K6" s="254">
        <f>Бланк!AN8</f>
        <v>0</v>
      </c>
      <c r="L6" s="254">
        <f>Бланк!AO8</f>
        <v>0</v>
      </c>
      <c r="M6" s="255" t="str">
        <f>Бланк!AS8</f>
        <v>2.3</v>
      </c>
    </row>
    <row r="7" spans="1:13" s="3" customFormat="1" x14ac:dyDescent="0.25">
      <c r="A7" s="253">
        <v>7</v>
      </c>
      <c r="B7" s="254">
        <f>Бланк!AA9</f>
        <v>0</v>
      </c>
      <c r="C7" s="254">
        <f>Бланк!AB9</f>
        <v>164</v>
      </c>
      <c r="D7" s="254">
        <f>Бланк!AC9</f>
        <v>0</v>
      </c>
      <c r="E7" s="254"/>
      <c r="F7" s="254">
        <f>Бланк!Y9</f>
        <v>18</v>
      </c>
      <c r="G7" s="254">
        <f>Бланк!AD9</f>
        <v>0</v>
      </c>
      <c r="H7" s="254">
        <f>Бланк!AK9</f>
        <v>0</v>
      </c>
      <c r="I7" s="254">
        <f>Бланк!AL9</f>
        <v>0</v>
      </c>
      <c r="J7" s="254">
        <f>Бланк!AM9</f>
        <v>0</v>
      </c>
      <c r="K7" s="254">
        <f>Бланк!AN9</f>
        <v>0</v>
      </c>
      <c r="L7" s="254">
        <f>Бланк!AO9</f>
        <v>0</v>
      </c>
      <c r="M7" s="255" t="str">
        <f>Бланк!AS9</f>
        <v>3.1</v>
      </c>
    </row>
    <row r="8" spans="1:13" s="3" customFormat="1" x14ac:dyDescent="0.25">
      <c r="A8" s="253">
        <v>8</v>
      </c>
      <c r="B8" s="254">
        <f>Бланк!AA10</f>
        <v>0</v>
      </c>
      <c r="C8" s="254">
        <f>Бланк!AB10</f>
        <v>0</v>
      </c>
      <c r="D8" s="254">
        <f>Бланк!AC10</f>
        <v>0</v>
      </c>
      <c r="E8" s="254"/>
      <c r="F8" s="254">
        <f>Бланк!Y10</f>
        <v>18</v>
      </c>
      <c r="G8" s="254">
        <f>Бланк!AD10</f>
        <v>0</v>
      </c>
      <c r="H8" s="254">
        <f>Бланк!AK10</f>
        <v>0</v>
      </c>
      <c r="I8" s="254">
        <f>Бланк!AL10</f>
        <v>0</v>
      </c>
      <c r="J8" s="254">
        <f>Бланк!AM10</f>
        <v>0</v>
      </c>
      <c r="K8" s="254">
        <f>Бланк!AN10</f>
        <v>0</v>
      </c>
      <c r="L8" s="254">
        <f>Бланк!AO10</f>
        <v>0</v>
      </c>
      <c r="M8" s="255" t="str">
        <f>Бланк!AS10</f>
        <v>3.2</v>
      </c>
    </row>
    <row r="9" spans="1:13" s="3" customFormat="1" x14ac:dyDescent="0.25">
      <c r="A9" s="253">
        <v>9</v>
      </c>
      <c r="B9" s="254">
        <f>Бланк!AA11</f>
        <v>0</v>
      </c>
      <c r="C9" s="254">
        <f>Бланк!AB11</f>
        <v>0</v>
      </c>
      <c r="D9" s="254">
        <f>Бланк!AC11</f>
        <v>0</v>
      </c>
      <c r="E9" s="254"/>
      <c r="F9" s="254">
        <f>Бланк!Y11</f>
        <v>0</v>
      </c>
      <c r="G9" s="254">
        <f>Бланк!AD11</f>
        <v>0</v>
      </c>
      <c r="H9" s="254">
        <f>Бланк!AK11</f>
        <v>0</v>
      </c>
      <c r="I9" s="254">
        <f>Бланк!AL11</f>
        <v>0</v>
      </c>
      <c r="J9" s="254">
        <f>Бланк!AM11</f>
        <v>0</v>
      </c>
      <c r="K9" s="254">
        <f>Бланк!AN11</f>
        <v>0</v>
      </c>
      <c r="L9" s="254">
        <f>Бланк!AO11</f>
        <v>0</v>
      </c>
      <c r="M9" s="255" t="str">
        <f>Бланк!AS11</f>
        <v>3.3</v>
      </c>
    </row>
    <row r="10" spans="1:13" s="3" customFormat="1" x14ac:dyDescent="0.25">
      <c r="A10" s="253">
        <v>10</v>
      </c>
      <c r="B10" s="254">
        <f>Бланк!AA12</f>
        <v>0</v>
      </c>
      <c r="C10" s="254">
        <f>Бланк!AB12</f>
        <v>164</v>
      </c>
      <c r="D10" s="254">
        <f>Бланк!AC12</f>
        <v>0</v>
      </c>
      <c r="E10" s="254"/>
      <c r="F10" s="254">
        <f>Бланк!Y12</f>
        <v>18</v>
      </c>
      <c r="G10" s="254">
        <f>Бланк!AD12</f>
        <v>0</v>
      </c>
      <c r="H10" s="254">
        <f>Бланк!AK12</f>
        <v>0</v>
      </c>
      <c r="I10" s="254">
        <f>Бланк!AL12</f>
        <v>0</v>
      </c>
      <c r="J10" s="254">
        <f>Бланк!AM12</f>
        <v>0</v>
      </c>
      <c r="K10" s="254">
        <f>Бланк!AN12</f>
        <v>0</v>
      </c>
      <c r="L10" s="254">
        <f>Бланк!AO12</f>
        <v>0</v>
      </c>
      <c r="M10" s="255" t="str">
        <f>Бланк!AS12</f>
        <v>4.1</v>
      </c>
    </row>
    <row r="11" spans="1:13" s="3" customFormat="1" x14ac:dyDescent="0.25">
      <c r="A11" s="253">
        <v>11</v>
      </c>
      <c r="B11" s="254">
        <f>Бланк!AA13</f>
        <v>0</v>
      </c>
      <c r="C11" s="254">
        <f>Бланк!AB13</f>
        <v>0</v>
      </c>
      <c r="D11" s="254">
        <f>Бланк!AC13</f>
        <v>0</v>
      </c>
      <c r="E11" s="254"/>
      <c r="F11" s="254">
        <f>Бланк!Y13</f>
        <v>18</v>
      </c>
      <c r="G11" s="254">
        <f>Бланк!AD13</f>
        <v>0</v>
      </c>
      <c r="H11" s="254">
        <f>Бланк!AK13</f>
        <v>0</v>
      </c>
      <c r="I11" s="254">
        <f>Бланк!AL13</f>
        <v>0</v>
      </c>
      <c r="J11" s="254">
        <f>Бланк!AM13</f>
        <v>0</v>
      </c>
      <c r="K11" s="254">
        <f>Бланк!AN13</f>
        <v>0</v>
      </c>
      <c r="L11" s="254">
        <f>Бланк!AO13</f>
        <v>0</v>
      </c>
      <c r="M11" s="255" t="str">
        <f>Бланк!AS13</f>
        <v>4.2</v>
      </c>
    </row>
    <row r="12" spans="1:13" s="3" customFormat="1" x14ac:dyDescent="0.25">
      <c r="A12" s="253">
        <v>12</v>
      </c>
      <c r="B12" s="254">
        <f>Бланк!AA14</f>
        <v>0</v>
      </c>
      <c r="C12" s="254">
        <f>Бланк!AB14</f>
        <v>0</v>
      </c>
      <c r="D12" s="254">
        <f>Бланк!AC14</f>
        <v>0</v>
      </c>
      <c r="E12" s="254"/>
      <c r="F12" s="254">
        <f>Бланк!Y14</f>
        <v>0</v>
      </c>
      <c r="G12" s="254">
        <f>Бланк!AD14</f>
        <v>0</v>
      </c>
      <c r="H12" s="254">
        <f>Бланк!AK14</f>
        <v>0</v>
      </c>
      <c r="I12" s="254">
        <f>Бланк!AL14</f>
        <v>0</v>
      </c>
      <c r="J12" s="254">
        <f>Бланк!AM14</f>
        <v>0</v>
      </c>
      <c r="K12" s="254">
        <f>Бланк!AN14</f>
        <v>0</v>
      </c>
      <c r="L12" s="254">
        <f>Бланк!AO14</f>
        <v>0</v>
      </c>
      <c r="M12" s="255" t="str">
        <f>Бланк!AS14</f>
        <v>4.3</v>
      </c>
    </row>
    <row r="13" spans="1:13" s="3" customFormat="1" x14ac:dyDescent="0.25">
      <c r="A13" s="253">
        <v>13</v>
      </c>
      <c r="B13" s="254">
        <f>Бланк!AA15</f>
        <v>0</v>
      </c>
      <c r="C13" s="254">
        <f>Бланк!AB15</f>
        <v>164</v>
      </c>
      <c r="D13" s="254">
        <f>Бланк!AC15</f>
        <v>0</v>
      </c>
      <c r="E13" s="254"/>
      <c r="F13" s="254">
        <f>Бланк!Y15</f>
        <v>18</v>
      </c>
      <c r="G13" s="254">
        <f>Бланк!AD15</f>
        <v>0</v>
      </c>
      <c r="H13" s="254">
        <f>Бланк!AK15</f>
        <v>0</v>
      </c>
      <c r="I13" s="254">
        <f>Бланк!AL15</f>
        <v>0</v>
      </c>
      <c r="J13" s="254">
        <f>Бланк!AM15</f>
        <v>0</v>
      </c>
      <c r="K13" s="254">
        <f>Бланк!AN15</f>
        <v>0</v>
      </c>
      <c r="L13" s="254">
        <f>Бланк!AO15</f>
        <v>0</v>
      </c>
      <c r="M13" s="255" t="str">
        <f>Бланк!AS15</f>
        <v>5.1</v>
      </c>
    </row>
    <row r="14" spans="1:13" s="3" customFormat="1" x14ac:dyDescent="0.25">
      <c r="A14" s="253">
        <v>14</v>
      </c>
      <c r="B14" s="254">
        <f>Бланк!AA16</f>
        <v>0</v>
      </c>
      <c r="C14" s="254">
        <f>Бланк!AB16</f>
        <v>0</v>
      </c>
      <c r="D14" s="254">
        <f>Бланк!AC16</f>
        <v>0</v>
      </c>
      <c r="E14" s="254"/>
      <c r="F14" s="254">
        <f>Бланк!Y16</f>
        <v>18</v>
      </c>
      <c r="G14" s="254">
        <f>Бланк!AD16</f>
        <v>0</v>
      </c>
      <c r="H14" s="254">
        <f>Бланк!AK16</f>
        <v>0</v>
      </c>
      <c r="I14" s="254">
        <f>Бланк!AL16</f>
        <v>0</v>
      </c>
      <c r="J14" s="254">
        <f>Бланк!AM16</f>
        <v>0</v>
      </c>
      <c r="K14" s="254">
        <f>Бланк!AN16</f>
        <v>0</v>
      </c>
      <c r="L14" s="254">
        <f>Бланк!AO16</f>
        <v>0</v>
      </c>
      <c r="M14" s="255" t="str">
        <f>Бланк!AS16</f>
        <v>5.2</v>
      </c>
    </row>
    <row r="15" spans="1:13" s="3" customFormat="1" x14ac:dyDescent="0.25">
      <c r="A15" s="253">
        <v>15</v>
      </c>
      <c r="B15" s="254">
        <f>Бланк!AA17</f>
        <v>0</v>
      </c>
      <c r="C15" s="254">
        <f>Бланк!AB17</f>
        <v>0</v>
      </c>
      <c r="D15" s="254">
        <f>Бланк!AC17</f>
        <v>0</v>
      </c>
      <c r="E15" s="254"/>
      <c r="F15" s="254">
        <f>Бланк!Y17</f>
        <v>0</v>
      </c>
      <c r="G15" s="254">
        <f>Бланк!AD17</f>
        <v>0</v>
      </c>
      <c r="H15" s="254">
        <f>Бланк!AK17</f>
        <v>0</v>
      </c>
      <c r="I15" s="254">
        <f>Бланк!AL17</f>
        <v>0</v>
      </c>
      <c r="J15" s="254">
        <f>Бланк!AM17</f>
        <v>0</v>
      </c>
      <c r="K15" s="254">
        <f>Бланк!AN17</f>
        <v>0</v>
      </c>
      <c r="L15" s="254">
        <f>Бланк!AO17</f>
        <v>0</v>
      </c>
      <c r="M15" s="255" t="str">
        <f>Бланк!AS17</f>
        <v>5.3</v>
      </c>
    </row>
    <row r="16" spans="1:13" s="3" customFormat="1" x14ac:dyDescent="0.25">
      <c r="A16" s="253">
        <v>16</v>
      </c>
      <c r="B16" s="254">
        <f>Бланк!AA18</f>
        <v>0</v>
      </c>
      <c r="C16" s="254">
        <f>Бланк!AB18</f>
        <v>164</v>
      </c>
      <c r="D16" s="254">
        <f>Бланк!AC18</f>
        <v>0</v>
      </c>
      <c r="E16" s="254"/>
      <c r="F16" s="254">
        <f>Бланк!Y18</f>
        <v>18</v>
      </c>
      <c r="G16" s="254">
        <f>Бланк!AD18</f>
        <v>0</v>
      </c>
      <c r="H16" s="254">
        <f>Бланк!AK18</f>
        <v>0</v>
      </c>
      <c r="I16" s="254">
        <f>Бланк!AL18</f>
        <v>0</v>
      </c>
      <c r="J16" s="254">
        <f>Бланк!AM18</f>
        <v>0</v>
      </c>
      <c r="K16" s="254">
        <f>Бланк!AN18</f>
        <v>0</v>
      </c>
      <c r="L16" s="254">
        <f>Бланк!AO18</f>
        <v>0</v>
      </c>
      <c r="M16" s="255" t="str">
        <f>Бланк!AS18</f>
        <v>6.1</v>
      </c>
    </row>
    <row r="17" spans="1:13" s="3" customFormat="1" x14ac:dyDescent="0.25">
      <c r="A17" s="253">
        <v>17</v>
      </c>
      <c r="B17" s="254">
        <f>Бланк!AA19</f>
        <v>0</v>
      </c>
      <c r="C17" s="254">
        <f>Бланк!AB19</f>
        <v>0</v>
      </c>
      <c r="D17" s="254">
        <f>Бланк!AC19</f>
        <v>0</v>
      </c>
      <c r="E17" s="254"/>
      <c r="F17" s="254">
        <f>Бланк!Y19</f>
        <v>18</v>
      </c>
      <c r="G17" s="254">
        <f>Бланк!AD19</f>
        <v>0</v>
      </c>
      <c r="H17" s="254">
        <f>Бланк!AK19</f>
        <v>0</v>
      </c>
      <c r="I17" s="254">
        <f>Бланк!AL19</f>
        <v>0</v>
      </c>
      <c r="J17" s="256">
        <f>Бланк!AM19</f>
        <v>0</v>
      </c>
      <c r="K17" s="254">
        <f>Бланк!AN19</f>
        <v>0</v>
      </c>
      <c r="L17" s="254">
        <f>Бланк!AO19</f>
        <v>0</v>
      </c>
      <c r="M17" s="255" t="str">
        <f>Бланк!AS19</f>
        <v>6.2</v>
      </c>
    </row>
    <row r="18" spans="1:13" s="3" customFormat="1" x14ac:dyDescent="0.25">
      <c r="A18" s="253">
        <v>18</v>
      </c>
      <c r="B18" s="254">
        <f>Бланк!AA20</f>
        <v>0</v>
      </c>
      <c r="C18" s="254">
        <f>Бланк!AB20</f>
        <v>0</v>
      </c>
      <c r="D18" s="254">
        <f>Бланк!AC20</f>
        <v>0</v>
      </c>
      <c r="E18" s="254"/>
      <c r="F18" s="254">
        <f>Бланк!Y20</f>
        <v>0</v>
      </c>
      <c r="G18" s="254">
        <f>Бланк!AD20</f>
        <v>0</v>
      </c>
      <c r="H18" s="254">
        <f>Бланк!AK20</f>
        <v>0</v>
      </c>
      <c r="I18" s="254">
        <f>Бланк!AL20</f>
        <v>0</v>
      </c>
      <c r="J18" s="254">
        <f>Бланк!AM20</f>
        <v>0</v>
      </c>
      <c r="K18" s="254">
        <f>Бланк!AN20</f>
        <v>0</v>
      </c>
      <c r="L18" s="254">
        <f>Бланк!AO20</f>
        <v>0</v>
      </c>
      <c r="M18" s="255" t="str">
        <f>Бланк!AS20</f>
        <v>6.3</v>
      </c>
    </row>
    <row r="19" spans="1:13" s="3" customFormat="1" x14ac:dyDescent="0.25">
      <c r="A19" s="253">
        <v>19</v>
      </c>
      <c r="B19" s="254">
        <f>Бланк!AA21</f>
        <v>0</v>
      </c>
      <c r="C19" s="254">
        <f>Бланк!AB21</f>
        <v>164</v>
      </c>
      <c r="D19" s="254">
        <f>Бланк!AC21</f>
        <v>0</v>
      </c>
      <c r="E19" s="254"/>
      <c r="F19" s="254">
        <f>Бланк!Y21</f>
        <v>18</v>
      </c>
      <c r="G19" s="254">
        <f>Бланк!AD21</f>
        <v>0</v>
      </c>
      <c r="H19" s="254">
        <f>Бланк!AK21</f>
        <v>0</v>
      </c>
      <c r="I19" s="254">
        <f>Бланк!AL21</f>
        <v>0</v>
      </c>
      <c r="J19" s="254">
        <f>Бланк!AM21</f>
        <v>0</v>
      </c>
      <c r="K19" s="254">
        <f>Бланк!AN21</f>
        <v>0</v>
      </c>
      <c r="L19" s="254">
        <f>Бланк!AO21</f>
        <v>0</v>
      </c>
      <c r="M19" s="255" t="str">
        <f>Бланк!AS21</f>
        <v>7.1</v>
      </c>
    </row>
    <row r="20" spans="1:13" s="3" customFormat="1" x14ac:dyDescent="0.25">
      <c r="A20" s="253">
        <v>20</v>
      </c>
      <c r="B20" s="254">
        <f>Бланк!AA22</f>
        <v>0</v>
      </c>
      <c r="C20" s="254">
        <f>Бланк!AB22</f>
        <v>0</v>
      </c>
      <c r="D20" s="254">
        <f>Бланк!AC22</f>
        <v>0</v>
      </c>
      <c r="E20" s="254"/>
      <c r="F20" s="254">
        <f>Бланк!Y22</f>
        <v>18</v>
      </c>
      <c r="G20" s="254">
        <f>Бланк!AD22</f>
        <v>0</v>
      </c>
      <c r="H20" s="254">
        <f>Бланк!AK22</f>
        <v>0</v>
      </c>
      <c r="I20" s="254">
        <f>Бланк!AL22</f>
        <v>0</v>
      </c>
      <c r="J20" s="254">
        <f>Бланк!AM22</f>
        <v>0</v>
      </c>
      <c r="K20" s="254">
        <f>Бланк!AN22</f>
        <v>0</v>
      </c>
      <c r="L20" s="254">
        <f>Бланк!AO22</f>
        <v>0</v>
      </c>
      <c r="M20" s="255" t="str">
        <f>Бланк!AS22</f>
        <v>7.2</v>
      </c>
    </row>
    <row r="21" spans="1:13" s="3" customFormat="1" x14ac:dyDescent="0.25">
      <c r="A21" s="253">
        <v>21</v>
      </c>
      <c r="B21" s="254">
        <f>Бланк!AA23</f>
        <v>0</v>
      </c>
      <c r="C21" s="254">
        <f>Бланк!AB23</f>
        <v>0</v>
      </c>
      <c r="D21" s="254">
        <f>Бланк!AC23</f>
        <v>0</v>
      </c>
      <c r="E21" s="254"/>
      <c r="F21" s="254">
        <f>Бланк!Y23</f>
        <v>0</v>
      </c>
      <c r="G21" s="254">
        <f>Бланк!AD23</f>
        <v>0</v>
      </c>
      <c r="H21" s="254">
        <f>Бланк!AK23</f>
        <v>0</v>
      </c>
      <c r="I21" s="254">
        <f>Бланк!AL23</f>
        <v>0</v>
      </c>
      <c r="J21" s="254">
        <f>Бланк!AM23</f>
        <v>0</v>
      </c>
      <c r="K21" s="254">
        <f>Бланк!AN23</f>
        <v>0</v>
      </c>
      <c r="L21" s="254">
        <f>Бланк!AO23</f>
        <v>0</v>
      </c>
      <c r="M21" s="255" t="str">
        <f>Бланк!AS23</f>
        <v>7.3</v>
      </c>
    </row>
    <row r="22" spans="1:13" s="3" customFormat="1" x14ac:dyDescent="0.25">
      <c r="A22" s="253">
        <v>22</v>
      </c>
      <c r="B22" s="254">
        <f>Бланк!AA24</f>
        <v>0</v>
      </c>
      <c r="C22" s="254">
        <f>Бланк!AB24</f>
        <v>164</v>
      </c>
      <c r="D22" s="254">
        <f>Бланк!AC24</f>
        <v>0</v>
      </c>
      <c r="E22" s="254"/>
      <c r="F22" s="254">
        <f>Бланк!Y24</f>
        <v>18</v>
      </c>
      <c r="G22" s="254">
        <f>Бланк!AD24</f>
        <v>0</v>
      </c>
      <c r="H22" s="254">
        <f>Бланк!AK24</f>
        <v>0</v>
      </c>
      <c r="I22" s="254">
        <f>Бланк!AL24</f>
        <v>0</v>
      </c>
      <c r="J22" s="254">
        <f>Бланк!AM24</f>
        <v>0</v>
      </c>
      <c r="K22" s="254">
        <f>Бланк!AN24</f>
        <v>0</v>
      </c>
      <c r="L22" s="254">
        <f>Бланк!AO24</f>
        <v>0</v>
      </c>
      <c r="M22" s="255" t="str">
        <f>Бланк!AS24</f>
        <v>8.1</v>
      </c>
    </row>
    <row r="23" spans="1:13" s="3" customFormat="1" x14ac:dyDescent="0.25">
      <c r="A23" s="253">
        <v>23</v>
      </c>
      <c r="B23" s="254">
        <f>Бланк!AA25</f>
        <v>0</v>
      </c>
      <c r="C23" s="254">
        <f>Бланк!AB25</f>
        <v>0</v>
      </c>
      <c r="D23" s="254">
        <f>Бланк!AC25</f>
        <v>0</v>
      </c>
      <c r="E23" s="254"/>
      <c r="F23" s="254">
        <f>Бланк!Y25</f>
        <v>18</v>
      </c>
      <c r="G23" s="254">
        <f>Бланк!AD25</f>
        <v>0</v>
      </c>
      <c r="H23" s="254">
        <f>Бланк!AK25</f>
        <v>0</v>
      </c>
      <c r="I23" s="254">
        <f>Бланк!AL25</f>
        <v>0</v>
      </c>
      <c r="J23" s="254">
        <f>Бланк!AM25</f>
        <v>0</v>
      </c>
      <c r="K23" s="254">
        <f>Бланк!AN25</f>
        <v>0</v>
      </c>
      <c r="L23" s="254">
        <f>Бланк!AO25</f>
        <v>0</v>
      </c>
      <c r="M23" s="255" t="str">
        <f>Бланк!AS25</f>
        <v>8.2</v>
      </c>
    </row>
    <row r="24" spans="1:13" s="3" customFormat="1" x14ac:dyDescent="0.25">
      <c r="A24" s="253">
        <v>24</v>
      </c>
      <c r="B24" s="254">
        <f>Бланк!AA26</f>
        <v>0</v>
      </c>
      <c r="C24" s="254">
        <f>Бланк!AB26</f>
        <v>0</v>
      </c>
      <c r="D24" s="254">
        <f>Бланк!AC26</f>
        <v>0</v>
      </c>
      <c r="E24" s="254"/>
      <c r="F24" s="254">
        <f>Бланк!Y26</f>
        <v>0</v>
      </c>
      <c r="G24" s="254">
        <f>Бланк!AD26</f>
        <v>0</v>
      </c>
      <c r="H24" s="254">
        <f>Бланк!AK26</f>
        <v>0</v>
      </c>
      <c r="I24" s="254">
        <f>Бланк!AL26</f>
        <v>0</v>
      </c>
      <c r="J24" s="254">
        <f>Бланк!AM26</f>
        <v>0</v>
      </c>
      <c r="K24" s="254">
        <f>Бланк!AN26</f>
        <v>0</v>
      </c>
      <c r="L24" s="254">
        <f>Бланк!AO26</f>
        <v>0</v>
      </c>
      <c r="M24" s="255" t="str">
        <f>Бланк!AS26</f>
        <v>8.3</v>
      </c>
    </row>
    <row r="25" spans="1:13" s="3" customFormat="1" x14ac:dyDescent="0.25">
      <c r="A25" s="253">
        <v>25</v>
      </c>
      <c r="B25" s="254">
        <f>Бланк!AA27</f>
        <v>0</v>
      </c>
      <c r="C25" s="254">
        <f>Бланк!AB27</f>
        <v>164</v>
      </c>
      <c r="D25" s="254">
        <f>Бланк!AC27</f>
        <v>0</v>
      </c>
      <c r="E25" s="254"/>
      <c r="F25" s="254">
        <f>Бланк!Y27</f>
        <v>18</v>
      </c>
      <c r="G25" s="254">
        <f>Бланк!AD27</f>
        <v>0</v>
      </c>
      <c r="H25" s="254">
        <f>Бланк!AK27</f>
        <v>0</v>
      </c>
      <c r="I25" s="254">
        <f>Бланк!AL27</f>
        <v>0</v>
      </c>
      <c r="J25" s="254">
        <f>Бланк!AM27</f>
        <v>0</v>
      </c>
      <c r="K25" s="254">
        <f>Бланк!AN27</f>
        <v>0</v>
      </c>
      <c r="L25" s="254">
        <f>Бланк!AO27</f>
        <v>0</v>
      </c>
      <c r="M25" s="255" t="str">
        <f>Бланк!AS27</f>
        <v>9.1</v>
      </c>
    </row>
    <row r="26" spans="1:13" x14ac:dyDescent="0.25">
      <c r="A26" s="253">
        <v>26</v>
      </c>
      <c r="B26" s="254">
        <f>Бланк!AA28</f>
        <v>0</v>
      </c>
      <c r="C26" s="254">
        <f>Бланк!AB28</f>
        <v>0</v>
      </c>
      <c r="D26" s="254">
        <f>Бланк!AC28</f>
        <v>0</v>
      </c>
      <c r="E26" s="254"/>
      <c r="F26" s="254">
        <f>Бланк!Y28</f>
        <v>18</v>
      </c>
      <c r="G26" s="254">
        <f>Бланк!AD28</f>
        <v>0</v>
      </c>
      <c r="H26" s="254">
        <f>Бланк!AK28</f>
        <v>0</v>
      </c>
      <c r="I26" s="254">
        <f>Бланк!AL28</f>
        <v>0</v>
      </c>
      <c r="J26" s="254">
        <f>Бланк!AM28</f>
        <v>0</v>
      </c>
      <c r="K26" s="254">
        <f>Бланк!AN28</f>
        <v>0</v>
      </c>
      <c r="L26" s="254">
        <f>Бланк!AO28</f>
        <v>0</v>
      </c>
      <c r="M26" s="255" t="str">
        <f>Бланк!AS28</f>
        <v>9.2</v>
      </c>
    </row>
    <row r="27" spans="1:13" x14ac:dyDescent="0.25">
      <c r="A27" s="253">
        <v>27</v>
      </c>
      <c r="B27" s="254">
        <f>Бланк!AA29</f>
        <v>0</v>
      </c>
      <c r="C27" s="254">
        <f>Бланк!AB29</f>
        <v>0</v>
      </c>
      <c r="D27" s="254">
        <f>Бланк!AC29</f>
        <v>0</v>
      </c>
      <c r="E27" s="254"/>
      <c r="F27" s="254">
        <f>Бланк!Y29</f>
        <v>0</v>
      </c>
      <c r="G27" s="254">
        <f>Бланк!AD29</f>
        <v>0</v>
      </c>
      <c r="H27" s="254">
        <f>Бланк!AK29</f>
        <v>0</v>
      </c>
      <c r="I27" s="254">
        <f>Бланк!AL29</f>
        <v>0</v>
      </c>
      <c r="J27" s="254">
        <f>Бланк!AM29</f>
        <v>0</v>
      </c>
      <c r="K27" s="254">
        <f>Бланк!AN29</f>
        <v>0</v>
      </c>
      <c r="L27" s="254">
        <f>Бланк!AO29</f>
        <v>0</v>
      </c>
      <c r="M27" s="255" t="str">
        <f>Бланк!AS29</f>
        <v>9.3</v>
      </c>
    </row>
    <row r="28" spans="1:13" x14ac:dyDescent="0.25">
      <c r="A28" s="253">
        <v>28</v>
      </c>
      <c r="B28" s="254">
        <f>Бланк!AA30</f>
        <v>0</v>
      </c>
      <c r="C28" s="254">
        <f>Бланк!AB30</f>
        <v>164</v>
      </c>
      <c r="D28" s="254">
        <f>Бланк!AC30</f>
        <v>0</v>
      </c>
      <c r="E28" s="254"/>
      <c r="F28" s="254">
        <f>Бланк!Y30</f>
        <v>18</v>
      </c>
      <c r="G28" s="254">
        <f>Бланк!AD30</f>
        <v>0</v>
      </c>
      <c r="H28" s="254">
        <f>Бланк!AK30</f>
        <v>0</v>
      </c>
      <c r="I28" s="254">
        <f>Бланк!AL30</f>
        <v>0</v>
      </c>
      <c r="J28" s="254">
        <f>Бланк!AM30</f>
        <v>0</v>
      </c>
      <c r="K28" s="254">
        <f>Бланк!AN30</f>
        <v>0</v>
      </c>
      <c r="L28" s="254">
        <f>Бланк!AO30</f>
        <v>0</v>
      </c>
      <c r="M28" s="255" t="str">
        <f>Бланк!AS30</f>
        <v>10.1</v>
      </c>
    </row>
    <row r="29" spans="1:13" x14ac:dyDescent="0.25">
      <c r="A29" s="253">
        <v>29</v>
      </c>
      <c r="B29" s="254">
        <f>Бланк!AA31</f>
        <v>0</v>
      </c>
      <c r="C29" s="254">
        <f>Бланк!AB31</f>
        <v>0</v>
      </c>
      <c r="D29" s="254">
        <f>Бланк!AC31</f>
        <v>0</v>
      </c>
      <c r="E29" s="254"/>
      <c r="F29" s="254">
        <f>Бланк!Y31</f>
        <v>18</v>
      </c>
      <c r="G29" s="254">
        <f>Бланк!AD31</f>
        <v>0</v>
      </c>
      <c r="H29" s="254">
        <f>Бланк!AK31</f>
        <v>0</v>
      </c>
      <c r="I29" s="254">
        <f>Бланк!AL31</f>
        <v>0</v>
      </c>
      <c r="J29" s="254">
        <f>Бланк!AM31</f>
        <v>0</v>
      </c>
      <c r="K29" s="254">
        <f>Бланк!AN31</f>
        <v>0</v>
      </c>
      <c r="L29" s="254">
        <f>Бланк!AO31</f>
        <v>0</v>
      </c>
      <c r="M29" s="255" t="str">
        <f>Бланк!AS31</f>
        <v>10.2</v>
      </c>
    </row>
    <row r="30" spans="1:13" x14ac:dyDescent="0.25">
      <c r="A30" s="253">
        <v>30</v>
      </c>
      <c r="B30" s="254">
        <f>Бланк!AA32</f>
        <v>0</v>
      </c>
      <c r="C30" s="254">
        <f>Бланк!AB32</f>
        <v>0</v>
      </c>
      <c r="D30" s="254">
        <f>Бланк!AC32</f>
        <v>0</v>
      </c>
      <c r="E30" s="254"/>
      <c r="F30" s="254">
        <f>Бланк!Y32</f>
        <v>0</v>
      </c>
      <c r="G30" s="254">
        <f>Бланк!AD32</f>
        <v>0</v>
      </c>
      <c r="H30" s="254">
        <f>Бланк!AK32</f>
        <v>0</v>
      </c>
      <c r="I30" s="254">
        <f>Бланк!AL32</f>
        <v>0</v>
      </c>
      <c r="J30" s="254">
        <f>Бланк!AM32</f>
        <v>0</v>
      </c>
      <c r="K30" s="254">
        <f>Бланк!AN32</f>
        <v>0</v>
      </c>
      <c r="L30" s="254">
        <f>Бланк!AO32</f>
        <v>0</v>
      </c>
      <c r="M30" s="255" t="str">
        <f>Бланк!AS32</f>
        <v>10.3</v>
      </c>
    </row>
    <row r="31" spans="1:13" x14ac:dyDescent="0.25">
      <c r="A31" s="253">
        <v>31</v>
      </c>
      <c r="B31" s="254">
        <f>Бланк!AA33</f>
        <v>0</v>
      </c>
      <c r="C31" s="254">
        <f>Бланк!AB33</f>
        <v>164</v>
      </c>
      <c r="D31" s="254">
        <f>Бланк!AC33</f>
        <v>0</v>
      </c>
      <c r="E31" s="254"/>
      <c r="F31" s="254">
        <f>Бланк!Y33</f>
        <v>18</v>
      </c>
      <c r="G31" s="254">
        <f>Бланк!AD33</f>
        <v>0</v>
      </c>
      <c r="H31" s="254">
        <f>Бланк!AK33</f>
        <v>0</v>
      </c>
      <c r="I31" s="254">
        <f>Бланк!AL33</f>
        <v>0</v>
      </c>
      <c r="J31" s="254">
        <f>Бланк!AM33</f>
        <v>0</v>
      </c>
      <c r="K31" s="254">
        <f>Бланк!AN33</f>
        <v>0</v>
      </c>
      <c r="L31" s="254">
        <f>Бланк!AO33</f>
        <v>0</v>
      </c>
      <c r="M31" s="255" t="str">
        <f>Бланк!AS33</f>
        <v>11.1</v>
      </c>
    </row>
    <row r="32" spans="1:13" x14ac:dyDescent="0.25">
      <c r="A32" s="253">
        <v>32</v>
      </c>
      <c r="B32" s="254">
        <f>Бланк!AA34</f>
        <v>0</v>
      </c>
      <c r="C32" s="254">
        <f>Бланк!AB34</f>
        <v>0</v>
      </c>
      <c r="D32" s="254">
        <f>Бланк!AC34</f>
        <v>0</v>
      </c>
      <c r="E32" s="254"/>
      <c r="F32" s="254">
        <f>Бланк!Y34</f>
        <v>18</v>
      </c>
      <c r="G32" s="254">
        <f>Бланк!AD34</f>
        <v>0</v>
      </c>
      <c r="H32" s="254">
        <f>Бланк!AK34</f>
        <v>0</v>
      </c>
      <c r="I32" s="254">
        <f>Бланк!AL34</f>
        <v>0</v>
      </c>
      <c r="J32" s="254">
        <f>Бланк!AM34</f>
        <v>0</v>
      </c>
      <c r="K32" s="254">
        <f>Бланк!AN34</f>
        <v>0</v>
      </c>
      <c r="L32" s="254">
        <f>Бланк!AO34</f>
        <v>0</v>
      </c>
      <c r="M32" s="255" t="str">
        <f>Бланк!AS34</f>
        <v>11.2</v>
      </c>
    </row>
    <row r="33" spans="1:13" x14ac:dyDescent="0.25">
      <c r="A33" s="253">
        <v>33</v>
      </c>
      <c r="B33" s="254">
        <f>Бланк!AA35</f>
        <v>0</v>
      </c>
      <c r="C33" s="254">
        <f>Бланк!AB35</f>
        <v>0</v>
      </c>
      <c r="D33" s="254">
        <f>Бланк!AC35</f>
        <v>0</v>
      </c>
      <c r="E33" s="254"/>
      <c r="F33" s="254">
        <f>Бланк!Y35</f>
        <v>0</v>
      </c>
      <c r="G33" s="254">
        <f>Бланк!AD35</f>
        <v>0</v>
      </c>
      <c r="H33" s="254">
        <f>Бланк!AK35</f>
        <v>0</v>
      </c>
      <c r="I33" s="254">
        <f>Бланк!AL35</f>
        <v>0</v>
      </c>
      <c r="J33" s="254">
        <f>Бланк!AM35</f>
        <v>0</v>
      </c>
      <c r="K33" s="254">
        <f>Бланк!AN35</f>
        <v>0</v>
      </c>
      <c r="L33" s="254">
        <f>Бланк!AO35</f>
        <v>0</v>
      </c>
      <c r="M33" s="255" t="str">
        <f>Бланк!AS35</f>
        <v>11.3</v>
      </c>
    </row>
    <row r="34" spans="1:13" x14ac:dyDescent="0.25">
      <c r="A34" s="253">
        <v>34</v>
      </c>
      <c r="B34" s="254">
        <f>Бланк!AA36</f>
        <v>0</v>
      </c>
      <c r="C34" s="254">
        <f>Бланк!AB36</f>
        <v>164</v>
      </c>
      <c r="D34" s="254">
        <f>Бланк!AC36</f>
        <v>0</v>
      </c>
      <c r="E34" s="254"/>
      <c r="F34" s="254">
        <f>Бланк!Y36</f>
        <v>18</v>
      </c>
      <c r="G34" s="254">
        <f>Бланк!AD36</f>
        <v>0</v>
      </c>
      <c r="H34" s="254">
        <f>Бланк!AK36</f>
        <v>0</v>
      </c>
      <c r="I34" s="254">
        <f>Бланк!AL36</f>
        <v>0</v>
      </c>
      <c r="J34" s="254">
        <f>Бланк!AM36</f>
        <v>0</v>
      </c>
      <c r="K34" s="254">
        <f>Бланк!AN36</f>
        <v>0</v>
      </c>
      <c r="L34" s="254">
        <f>Бланк!AO36</f>
        <v>0</v>
      </c>
      <c r="M34" s="255" t="str">
        <f>Бланк!AS36</f>
        <v>12.1</v>
      </c>
    </row>
    <row r="35" spans="1:13" x14ac:dyDescent="0.25">
      <c r="A35" s="253">
        <v>35</v>
      </c>
      <c r="B35" s="254">
        <f>Бланк!AA37</f>
        <v>0</v>
      </c>
      <c r="C35" s="254">
        <f>Бланк!AB37</f>
        <v>0</v>
      </c>
      <c r="D35" s="254">
        <f>Бланк!AC37</f>
        <v>0</v>
      </c>
      <c r="E35" s="254"/>
      <c r="F35" s="254">
        <f>Бланк!Y37</f>
        <v>18</v>
      </c>
      <c r="G35" s="254">
        <f>Бланк!AD37</f>
        <v>0</v>
      </c>
      <c r="H35" s="254">
        <f>Бланк!AK37</f>
        <v>0</v>
      </c>
      <c r="I35" s="254">
        <f>Бланк!AL37</f>
        <v>0</v>
      </c>
      <c r="J35" s="254">
        <f>Бланк!AM37</f>
        <v>0</v>
      </c>
      <c r="K35" s="254">
        <f>Бланк!AN37</f>
        <v>0</v>
      </c>
      <c r="L35" s="254">
        <f>Бланк!AO37</f>
        <v>0</v>
      </c>
      <c r="M35" s="255" t="str">
        <f>Бланк!AS37</f>
        <v>12.2</v>
      </c>
    </row>
    <row r="36" spans="1:13" x14ac:dyDescent="0.25">
      <c r="A36" s="253">
        <v>36</v>
      </c>
      <c r="B36" s="254">
        <f>Бланк!AA38</f>
        <v>0</v>
      </c>
      <c r="C36" s="254">
        <f>Бланк!AB38</f>
        <v>0</v>
      </c>
      <c r="D36" s="254">
        <f>Бланк!AC38</f>
        <v>0</v>
      </c>
      <c r="E36" s="254"/>
      <c r="F36" s="254">
        <f>Бланк!Y38</f>
        <v>0</v>
      </c>
      <c r="G36" s="254">
        <f>Бланк!AD38</f>
        <v>0</v>
      </c>
      <c r="H36" s="254">
        <f>Бланк!AK38</f>
        <v>0</v>
      </c>
      <c r="I36" s="254">
        <f>Бланк!AL38</f>
        <v>0</v>
      </c>
      <c r="J36" s="254">
        <f>Бланк!AM38</f>
        <v>0</v>
      </c>
      <c r="K36" s="254">
        <f>Бланк!AN38</f>
        <v>0</v>
      </c>
      <c r="L36" s="254">
        <f>Бланк!AO38</f>
        <v>0</v>
      </c>
      <c r="M36" s="255" t="str">
        <f>Бланк!AS38</f>
        <v>12.3</v>
      </c>
    </row>
    <row r="37" spans="1:13" x14ac:dyDescent="0.25">
      <c r="A37" s="253">
        <v>37</v>
      </c>
      <c r="B37" s="254">
        <f>Бланк!AA39</f>
        <v>0</v>
      </c>
      <c r="C37" s="254">
        <f>Бланк!AB39</f>
        <v>164</v>
      </c>
      <c r="D37" s="254">
        <f>Бланк!AC39</f>
        <v>0</v>
      </c>
      <c r="E37" s="254"/>
      <c r="F37" s="254">
        <f>Бланк!Y39</f>
        <v>18</v>
      </c>
      <c r="G37" s="254">
        <f>Бланк!AD39</f>
        <v>0</v>
      </c>
      <c r="H37" s="254">
        <f>Бланк!AK39</f>
        <v>0</v>
      </c>
      <c r="I37" s="254">
        <f>Бланк!AL39</f>
        <v>0</v>
      </c>
      <c r="J37" s="254">
        <f>Бланк!AM39</f>
        <v>0</v>
      </c>
      <c r="K37" s="254">
        <f>Бланк!AN39</f>
        <v>0</v>
      </c>
      <c r="L37" s="254">
        <f>Бланк!AO39</f>
        <v>0</v>
      </c>
      <c r="M37" s="255" t="str">
        <f>Бланк!AS39</f>
        <v>13.1</v>
      </c>
    </row>
    <row r="38" spans="1:13" x14ac:dyDescent="0.25">
      <c r="A38" s="253">
        <v>38</v>
      </c>
      <c r="B38" s="254">
        <f>Бланк!AA40</f>
        <v>0</v>
      </c>
      <c r="C38" s="254">
        <f>Бланк!AB40</f>
        <v>0</v>
      </c>
      <c r="D38" s="254">
        <f>Бланк!AC40</f>
        <v>0</v>
      </c>
      <c r="E38" s="254"/>
      <c r="F38" s="254">
        <f>Бланк!Y40</f>
        <v>18</v>
      </c>
      <c r="G38" s="254">
        <f>Бланк!AD40</f>
        <v>0</v>
      </c>
      <c r="H38" s="254">
        <f>Бланк!AK40</f>
        <v>0</v>
      </c>
      <c r="I38" s="254">
        <f>Бланк!AL40</f>
        <v>0</v>
      </c>
      <c r="J38" s="254">
        <f>Бланк!AM40</f>
        <v>0</v>
      </c>
      <c r="K38" s="254">
        <f>Бланк!AN40</f>
        <v>0</v>
      </c>
      <c r="L38" s="254">
        <f>Бланк!AO40</f>
        <v>0</v>
      </c>
      <c r="M38" s="255" t="str">
        <f>Бланк!AS40</f>
        <v>13.2</v>
      </c>
    </row>
    <row r="39" spans="1:13" x14ac:dyDescent="0.25">
      <c r="A39" s="253">
        <v>39</v>
      </c>
      <c r="B39" s="254">
        <f>Бланк!AA41</f>
        <v>0</v>
      </c>
      <c r="C39" s="254">
        <f>Бланк!AB41</f>
        <v>0</v>
      </c>
      <c r="D39" s="254">
        <f>Бланк!AC41</f>
        <v>0</v>
      </c>
      <c r="E39" s="254"/>
      <c r="F39" s="254">
        <f>Бланк!Y41</f>
        <v>0</v>
      </c>
      <c r="G39" s="254">
        <f>Бланк!AD41</f>
        <v>0</v>
      </c>
      <c r="H39" s="254">
        <f>Бланк!AK41</f>
        <v>0</v>
      </c>
      <c r="I39" s="254">
        <f>Бланк!AL41</f>
        <v>0</v>
      </c>
      <c r="J39" s="254">
        <f>Бланк!AM41</f>
        <v>0</v>
      </c>
      <c r="K39" s="254">
        <f>Бланк!AN41</f>
        <v>0</v>
      </c>
      <c r="L39" s="254">
        <f>Бланк!AO41</f>
        <v>0</v>
      </c>
      <c r="M39" s="255" t="str">
        <f>Бланк!AS41</f>
        <v>13.3</v>
      </c>
    </row>
    <row r="40" spans="1:13" x14ac:dyDescent="0.25">
      <c r="A40" s="253">
        <v>40</v>
      </c>
      <c r="B40" s="254">
        <f>Бланк!AA42</f>
        <v>0</v>
      </c>
      <c r="C40" s="254">
        <f>Бланк!AB42</f>
        <v>164</v>
      </c>
      <c r="D40" s="254">
        <f>Бланк!AC42</f>
        <v>0</v>
      </c>
      <c r="E40" s="254"/>
      <c r="F40" s="254">
        <f>Бланк!Y42</f>
        <v>18</v>
      </c>
      <c r="G40" s="254">
        <f>Бланк!AD42</f>
        <v>0</v>
      </c>
      <c r="H40" s="254">
        <f>Бланк!AK42</f>
        <v>0</v>
      </c>
      <c r="I40" s="254">
        <f>Бланк!AL42</f>
        <v>0</v>
      </c>
      <c r="J40" s="254">
        <f>Бланк!AM42</f>
        <v>0</v>
      </c>
      <c r="K40" s="254">
        <f>Бланк!AN42</f>
        <v>0</v>
      </c>
      <c r="L40" s="254">
        <f>Бланк!AO42</f>
        <v>0</v>
      </c>
      <c r="M40" s="255" t="str">
        <f>Бланк!AS42</f>
        <v>14.1</v>
      </c>
    </row>
    <row r="41" spans="1:13" x14ac:dyDescent="0.25">
      <c r="A41" s="253">
        <v>41</v>
      </c>
      <c r="B41" s="254">
        <f>Бланк!AA43</f>
        <v>0</v>
      </c>
      <c r="C41" s="254">
        <f>Бланк!AB43</f>
        <v>0</v>
      </c>
      <c r="D41" s="254">
        <f>Бланк!AC43</f>
        <v>0</v>
      </c>
      <c r="E41" s="254"/>
      <c r="F41" s="254">
        <f>Бланк!Y43</f>
        <v>18</v>
      </c>
      <c r="G41" s="254">
        <f>Бланк!AD43</f>
        <v>0</v>
      </c>
      <c r="H41" s="254">
        <f>Бланк!AK43</f>
        <v>0</v>
      </c>
      <c r="I41" s="254">
        <f>Бланк!AL43</f>
        <v>0</v>
      </c>
      <c r="J41" s="254">
        <f>Бланк!AM43</f>
        <v>0</v>
      </c>
      <c r="K41" s="254">
        <f>Бланк!AN43</f>
        <v>0</v>
      </c>
      <c r="L41" s="254">
        <f>Бланк!AO43</f>
        <v>0</v>
      </c>
      <c r="M41" s="255" t="str">
        <f>Бланк!AS43</f>
        <v>14.2</v>
      </c>
    </row>
    <row r="42" spans="1:13" x14ac:dyDescent="0.25">
      <c r="A42" s="253">
        <v>42</v>
      </c>
      <c r="B42" s="254">
        <f>Бланк!AA44</f>
        <v>0</v>
      </c>
      <c r="C42" s="254">
        <f>Бланк!AB44</f>
        <v>0</v>
      </c>
      <c r="D42" s="254">
        <f>Бланк!AC44</f>
        <v>0</v>
      </c>
      <c r="E42" s="254"/>
      <c r="F42" s="254">
        <f>Бланк!Y44</f>
        <v>0</v>
      </c>
      <c r="G42" s="254">
        <f>Бланк!AD44</f>
        <v>0</v>
      </c>
      <c r="H42" s="254">
        <f>Бланк!AK44</f>
        <v>0</v>
      </c>
      <c r="I42" s="254">
        <f>Бланк!AL44</f>
        <v>0</v>
      </c>
      <c r="J42" s="254">
        <f>Бланк!AM44</f>
        <v>0</v>
      </c>
      <c r="K42" s="254">
        <f>Бланк!AN44</f>
        <v>0</v>
      </c>
      <c r="L42" s="254">
        <f>Бланк!AO44</f>
        <v>0</v>
      </c>
      <c r="M42" s="255" t="str">
        <f>Бланк!AS44</f>
        <v>14.3</v>
      </c>
    </row>
    <row r="43" spans="1:13" x14ac:dyDescent="0.25">
      <c r="A43" s="253">
        <v>43</v>
      </c>
      <c r="B43" s="254">
        <f>Бланк!AA45</f>
        <v>0</v>
      </c>
      <c r="C43" s="254">
        <f>Бланк!AB45</f>
        <v>164</v>
      </c>
      <c r="D43" s="254">
        <f>Бланк!AC45</f>
        <v>0</v>
      </c>
      <c r="E43" s="254"/>
      <c r="F43" s="254">
        <f>Бланк!Y45</f>
        <v>18</v>
      </c>
      <c r="G43" s="254">
        <f>Бланк!AD45</f>
        <v>0</v>
      </c>
      <c r="H43" s="254">
        <f>Бланк!AK45</f>
        <v>0</v>
      </c>
      <c r="I43" s="254">
        <f>Бланк!AL45</f>
        <v>0</v>
      </c>
      <c r="J43" s="254">
        <f>Бланк!AM45</f>
        <v>0</v>
      </c>
      <c r="K43" s="254">
        <f>Бланк!AN45</f>
        <v>0</v>
      </c>
      <c r="L43" s="254">
        <f>Бланк!AO45</f>
        <v>0</v>
      </c>
      <c r="M43" s="255" t="str">
        <f>Бланк!AS45</f>
        <v>15.1</v>
      </c>
    </row>
    <row r="44" spans="1:13" x14ac:dyDescent="0.25">
      <c r="A44" s="253">
        <v>44</v>
      </c>
      <c r="B44" s="254">
        <f>Бланк!AA46</f>
        <v>0</v>
      </c>
      <c r="C44" s="254">
        <f>Бланк!AB46</f>
        <v>0</v>
      </c>
      <c r="D44" s="254">
        <f>Бланк!AC46</f>
        <v>0</v>
      </c>
      <c r="E44" s="254"/>
      <c r="F44" s="254">
        <f>Бланк!Y46</f>
        <v>18</v>
      </c>
      <c r="G44" s="254">
        <f>Бланк!AD46</f>
        <v>0</v>
      </c>
      <c r="H44" s="254">
        <f>Бланк!AK46</f>
        <v>0</v>
      </c>
      <c r="I44" s="254">
        <f>Бланк!AL46</f>
        <v>0</v>
      </c>
      <c r="J44" s="254">
        <f>Бланк!AM46</f>
        <v>0</v>
      </c>
      <c r="K44" s="254">
        <f>Бланк!AN46</f>
        <v>0</v>
      </c>
      <c r="L44" s="254">
        <f>Бланк!AO46</f>
        <v>0</v>
      </c>
      <c r="M44" s="255" t="str">
        <f>Бланк!AS46</f>
        <v>15.2</v>
      </c>
    </row>
    <row r="45" spans="1:13" x14ac:dyDescent="0.25">
      <c r="A45" s="253">
        <v>45</v>
      </c>
      <c r="B45" s="254">
        <f>Бланк!AA47</f>
        <v>0</v>
      </c>
      <c r="C45" s="254">
        <f>Бланк!AB47</f>
        <v>0</v>
      </c>
      <c r="D45" s="254">
        <f>Бланк!AC47</f>
        <v>0</v>
      </c>
      <c r="E45" s="254"/>
      <c r="F45" s="254">
        <f>Бланк!Y47</f>
        <v>0</v>
      </c>
      <c r="G45" s="254">
        <f>Бланк!AD47</f>
        <v>0</v>
      </c>
      <c r="H45" s="254">
        <f>Бланк!AK47</f>
        <v>0</v>
      </c>
      <c r="I45" s="254">
        <f>Бланк!AL47</f>
        <v>0</v>
      </c>
      <c r="J45" s="254">
        <f>Бланк!AM47</f>
        <v>0</v>
      </c>
      <c r="K45" s="254">
        <f>Бланк!AN47</f>
        <v>0</v>
      </c>
      <c r="L45" s="254">
        <f>Бланк!AO47</f>
        <v>0</v>
      </c>
      <c r="M45" s="255" t="str">
        <f>Бланк!AS47</f>
        <v>15.3</v>
      </c>
    </row>
    <row r="46" spans="1:13" x14ac:dyDescent="0.25">
      <c r="A46" s="253">
        <v>46</v>
      </c>
      <c r="B46" s="254">
        <f>Бланк!AA48</f>
        <v>0</v>
      </c>
      <c r="C46" s="254">
        <f>Бланк!AB48</f>
        <v>164</v>
      </c>
      <c r="D46" s="254">
        <f>Бланк!AC48</f>
        <v>0</v>
      </c>
      <c r="E46" s="254"/>
      <c r="F46" s="254">
        <f>Бланк!Y48</f>
        <v>18</v>
      </c>
      <c r="G46" s="254">
        <f>Бланк!AD48</f>
        <v>0</v>
      </c>
      <c r="H46" s="254">
        <f>Бланк!AK48</f>
        <v>0</v>
      </c>
      <c r="I46" s="254">
        <f>Бланк!AL48</f>
        <v>0</v>
      </c>
      <c r="J46" s="254">
        <f>Бланк!AM48</f>
        <v>0</v>
      </c>
      <c r="K46" s="254">
        <f>Бланк!AN48</f>
        <v>0</v>
      </c>
      <c r="L46" s="254">
        <f>Бланк!AO48</f>
        <v>0</v>
      </c>
      <c r="M46" s="255" t="str">
        <f>Бланк!AS48</f>
        <v>16.1</v>
      </c>
    </row>
    <row r="47" spans="1:13" x14ac:dyDescent="0.25">
      <c r="A47" s="253">
        <v>47</v>
      </c>
      <c r="B47" s="254">
        <f>Бланк!AA49</f>
        <v>0</v>
      </c>
      <c r="C47" s="254">
        <f>Бланк!AB49</f>
        <v>0</v>
      </c>
      <c r="D47" s="254">
        <f>Бланк!AC49</f>
        <v>0</v>
      </c>
      <c r="E47" s="254"/>
      <c r="F47" s="254">
        <f>Бланк!Y49</f>
        <v>18</v>
      </c>
      <c r="G47" s="254">
        <f>Бланк!AD49</f>
        <v>0</v>
      </c>
      <c r="H47" s="254">
        <f>Бланк!AK49</f>
        <v>0</v>
      </c>
      <c r="I47" s="254">
        <f>Бланк!AL49</f>
        <v>0</v>
      </c>
      <c r="J47" s="254">
        <f>Бланк!AM49</f>
        <v>0</v>
      </c>
      <c r="K47" s="254">
        <f>Бланк!AN49</f>
        <v>0</v>
      </c>
      <c r="L47" s="254">
        <f>Бланк!AO49</f>
        <v>0</v>
      </c>
      <c r="M47" s="255" t="str">
        <f>Бланк!AS49</f>
        <v>16.2</v>
      </c>
    </row>
    <row r="48" spans="1:13" x14ac:dyDescent="0.25">
      <c r="A48" s="253">
        <v>48</v>
      </c>
      <c r="B48" s="254">
        <f>Бланк!AA50</f>
        <v>0</v>
      </c>
      <c r="C48" s="254">
        <f>Бланк!AB50</f>
        <v>0</v>
      </c>
      <c r="D48" s="254">
        <f>Бланк!AC50</f>
        <v>0</v>
      </c>
      <c r="E48" s="254"/>
      <c r="F48" s="254">
        <f>Бланк!Y50</f>
        <v>0</v>
      </c>
      <c r="G48" s="254">
        <f>Бланк!AD50</f>
        <v>0</v>
      </c>
      <c r="H48" s="254">
        <f>Бланк!AK50</f>
        <v>0</v>
      </c>
      <c r="I48" s="254">
        <f>Бланк!AL50</f>
        <v>0</v>
      </c>
      <c r="J48" s="254">
        <f>Бланк!AM50</f>
        <v>0</v>
      </c>
      <c r="K48" s="254">
        <f>Бланк!AN50</f>
        <v>0</v>
      </c>
      <c r="L48" s="254">
        <f>Бланк!AO50</f>
        <v>0</v>
      </c>
      <c r="M48" s="255" t="str">
        <f>Бланк!AS50</f>
        <v>16.3</v>
      </c>
    </row>
    <row r="49" spans="1:13" x14ac:dyDescent="0.25">
      <c r="A49" s="253">
        <v>49</v>
      </c>
      <c r="B49" s="254">
        <f>Бланк!AA51</f>
        <v>0</v>
      </c>
      <c r="C49" s="254">
        <f>Бланк!AB51</f>
        <v>164</v>
      </c>
      <c r="D49" s="254">
        <f>Бланк!AC51</f>
        <v>0</v>
      </c>
      <c r="E49" s="254"/>
      <c r="F49" s="254">
        <f>Бланк!Y51</f>
        <v>18</v>
      </c>
      <c r="G49" s="254">
        <f>Бланк!AD51</f>
        <v>0</v>
      </c>
      <c r="H49" s="254">
        <f>Бланк!AK51</f>
        <v>0</v>
      </c>
      <c r="I49" s="254">
        <f>Бланк!AL51</f>
        <v>0</v>
      </c>
      <c r="J49" s="254">
        <f>Бланк!AM51</f>
        <v>0</v>
      </c>
      <c r="K49" s="254">
        <f>Бланк!AN51</f>
        <v>0</v>
      </c>
      <c r="L49" s="254">
        <f>Бланк!AO51</f>
        <v>0</v>
      </c>
      <c r="M49" s="255" t="str">
        <f>Бланк!AS51</f>
        <v>17.1</v>
      </c>
    </row>
    <row r="50" spans="1:13" x14ac:dyDescent="0.25">
      <c r="A50" s="253">
        <v>50</v>
      </c>
      <c r="B50" s="254">
        <f>Бланк!AA52</f>
        <v>0</v>
      </c>
      <c r="C50" s="254">
        <f>Бланк!AB52</f>
        <v>0</v>
      </c>
      <c r="D50" s="254">
        <f>Бланк!AC52</f>
        <v>0</v>
      </c>
      <c r="E50" s="254"/>
      <c r="F50" s="254">
        <f>Бланк!Y52</f>
        <v>18</v>
      </c>
      <c r="G50" s="254">
        <f>Бланк!AD52</f>
        <v>0</v>
      </c>
      <c r="H50" s="254">
        <f>Бланк!AK52</f>
        <v>0</v>
      </c>
      <c r="I50" s="254">
        <f>Бланк!AL52</f>
        <v>0</v>
      </c>
      <c r="J50" s="254">
        <f>Бланк!AM52</f>
        <v>0</v>
      </c>
      <c r="K50" s="254">
        <f>Бланк!AN52</f>
        <v>0</v>
      </c>
      <c r="L50" s="254">
        <f>Бланк!AO52</f>
        <v>0</v>
      </c>
      <c r="M50" s="255" t="str">
        <f>Бланк!AS52</f>
        <v>17.2</v>
      </c>
    </row>
    <row r="51" spans="1:13" x14ac:dyDescent="0.25">
      <c r="A51" s="253">
        <v>51</v>
      </c>
      <c r="B51" s="254">
        <f>Бланк!AA53</f>
        <v>0</v>
      </c>
      <c r="C51" s="254">
        <f>Бланк!AB53</f>
        <v>0</v>
      </c>
      <c r="D51" s="254">
        <f>Бланк!AC53</f>
        <v>0</v>
      </c>
      <c r="E51" s="254"/>
      <c r="F51" s="254">
        <f>Бланк!Y53</f>
        <v>0</v>
      </c>
      <c r="G51" s="254">
        <f>Бланк!AD53</f>
        <v>0</v>
      </c>
      <c r="H51" s="254">
        <f>Бланк!AK53</f>
        <v>0</v>
      </c>
      <c r="I51" s="254">
        <f>Бланк!AL53</f>
        <v>0</v>
      </c>
      <c r="J51" s="254">
        <f>Бланк!AM53</f>
        <v>0</v>
      </c>
      <c r="K51" s="254">
        <f>Бланк!AN53</f>
        <v>0</v>
      </c>
      <c r="L51" s="254">
        <f>Бланк!AO53</f>
        <v>0</v>
      </c>
      <c r="M51" s="255" t="str">
        <f>Бланк!AS53</f>
        <v>17.3</v>
      </c>
    </row>
    <row r="52" spans="1:13" x14ac:dyDescent="0.25">
      <c r="A52" s="253">
        <v>52</v>
      </c>
      <c r="B52" s="254">
        <f>Бланк!AA54</f>
        <v>0</v>
      </c>
      <c r="C52" s="254">
        <f>Бланк!AB54</f>
        <v>164</v>
      </c>
      <c r="D52" s="254">
        <f>Бланк!AC54</f>
        <v>0</v>
      </c>
      <c r="E52" s="254"/>
      <c r="F52" s="254">
        <f>Бланк!Y54</f>
        <v>18</v>
      </c>
      <c r="G52" s="254">
        <f>Бланк!AD54</f>
        <v>0</v>
      </c>
      <c r="H52" s="254">
        <f>Бланк!AK54</f>
        <v>0</v>
      </c>
      <c r="I52" s="254">
        <f>Бланк!AL54</f>
        <v>0</v>
      </c>
      <c r="J52" s="254">
        <f>Бланк!AM54</f>
        <v>0</v>
      </c>
      <c r="K52" s="254">
        <f>Бланк!AN54</f>
        <v>0</v>
      </c>
      <c r="L52" s="254">
        <f>Бланк!AO54</f>
        <v>0</v>
      </c>
      <c r="M52" s="255" t="str">
        <f>Бланк!AS54</f>
        <v>18.1</v>
      </c>
    </row>
    <row r="53" spans="1:13" x14ac:dyDescent="0.25">
      <c r="A53" s="253">
        <v>53</v>
      </c>
      <c r="B53" s="254">
        <f>Бланк!AA55</f>
        <v>0</v>
      </c>
      <c r="C53" s="254">
        <f>Бланк!AB55</f>
        <v>0</v>
      </c>
      <c r="D53" s="254">
        <f>Бланк!AC55</f>
        <v>0</v>
      </c>
      <c r="E53" s="254"/>
      <c r="F53" s="254">
        <f>Бланк!Y55</f>
        <v>18</v>
      </c>
      <c r="G53" s="254">
        <f>Бланк!AD55</f>
        <v>0</v>
      </c>
      <c r="H53" s="254">
        <f>Бланк!AK55</f>
        <v>0</v>
      </c>
      <c r="I53" s="254">
        <f>Бланк!AL55</f>
        <v>0</v>
      </c>
      <c r="J53" s="254">
        <f>Бланк!AM55</f>
        <v>0</v>
      </c>
      <c r="K53" s="254">
        <f>Бланк!AN55</f>
        <v>0</v>
      </c>
      <c r="L53" s="254">
        <f>Бланк!AO55</f>
        <v>0</v>
      </c>
      <c r="M53" s="255" t="str">
        <f>Бланк!AS55</f>
        <v>18.2</v>
      </c>
    </row>
    <row r="54" spans="1:13" x14ac:dyDescent="0.25">
      <c r="A54" s="253">
        <v>54</v>
      </c>
      <c r="B54" s="254">
        <f>Бланк!AA56</f>
        <v>0</v>
      </c>
      <c r="C54" s="254">
        <f>Бланк!AB56</f>
        <v>0</v>
      </c>
      <c r="D54" s="254">
        <f>Бланк!AC56</f>
        <v>0</v>
      </c>
      <c r="E54" s="254"/>
      <c r="F54" s="254">
        <f>Бланк!Y56</f>
        <v>0</v>
      </c>
      <c r="G54" s="254">
        <f>Бланк!AD56</f>
        <v>0</v>
      </c>
      <c r="H54" s="254">
        <f>Бланк!AK56</f>
        <v>0</v>
      </c>
      <c r="I54" s="254">
        <f>Бланк!AL56</f>
        <v>0</v>
      </c>
      <c r="J54" s="254">
        <f>Бланк!AM56</f>
        <v>0</v>
      </c>
      <c r="K54" s="254">
        <f>Бланк!AN56</f>
        <v>0</v>
      </c>
      <c r="L54" s="254">
        <f>Бланк!AO56</f>
        <v>0</v>
      </c>
      <c r="M54" s="255" t="str">
        <f>Бланк!AS56</f>
        <v>18.3</v>
      </c>
    </row>
    <row r="55" spans="1:13" x14ac:dyDescent="0.25">
      <c r="A55" s="253">
        <v>55</v>
      </c>
      <c r="B55" s="254">
        <f>Бланк!AA57</f>
        <v>0</v>
      </c>
      <c r="C55" s="254">
        <f>Бланк!AB57</f>
        <v>164</v>
      </c>
      <c r="D55" s="254">
        <f>Бланк!AC57</f>
        <v>0</v>
      </c>
      <c r="E55" s="254"/>
      <c r="F55" s="254">
        <f>Бланк!Y57</f>
        <v>18</v>
      </c>
      <c r="G55" s="254">
        <f>Бланк!AD57</f>
        <v>0</v>
      </c>
      <c r="H55" s="254">
        <f>Бланк!AK57</f>
        <v>0</v>
      </c>
      <c r="I55" s="254">
        <f>Бланк!AL57</f>
        <v>0</v>
      </c>
      <c r="J55" s="254">
        <f>Бланк!AM57</f>
        <v>0</v>
      </c>
      <c r="K55" s="254">
        <f>Бланк!AN57</f>
        <v>0</v>
      </c>
      <c r="L55" s="254">
        <f>Бланк!AO57</f>
        <v>0</v>
      </c>
      <c r="M55" s="255" t="str">
        <f>Бланк!AS57</f>
        <v>19.1</v>
      </c>
    </row>
    <row r="56" spans="1:13" x14ac:dyDescent="0.25">
      <c r="A56" s="253">
        <v>56</v>
      </c>
      <c r="B56" s="254">
        <f>Бланк!AA58</f>
        <v>0</v>
      </c>
      <c r="C56" s="254">
        <f>Бланк!AB58</f>
        <v>0</v>
      </c>
      <c r="D56" s="254">
        <f>Бланк!AC58</f>
        <v>0</v>
      </c>
      <c r="E56" s="254"/>
      <c r="F56" s="254">
        <f>Бланк!Y58</f>
        <v>18</v>
      </c>
      <c r="G56" s="254">
        <f>Бланк!AD58</f>
        <v>0</v>
      </c>
      <c r="H56" s="254">
        <f>Бланк!AK58</f>
        <v>0</v>
      </c>
      <c r="I56" s="254">
        <f>Бланк!AL58</f>
        <v>0</v>
      </c>
      <c r="J56" s="254">
        <f>Бланк!AM58</f>
        <v>0</v>
      </c>
      <c r="K56" s="254">
        <f>Бланк!AN58</f>
        <v>0</v>
      </c>
      <c r="L56" s="254">
        <f>Бланк!AO58</f>
        <v>0</v>
      </c>
      <c r="M56" s="255" t="str">
        <f>Бланк!AS58</f>
        <v>19.2</v>
      </c>
    </row>
    <row r="57" spans="1:13" x14ac:dyDescent="0.25">
      <c r="A57" s="253">
        <v>57</v>
      </c>
      <c r="B57" s="254">
        <f>Бланк!AA59</f>
        <v>0</v>
      </c>
      <c r="C57" s="254">
        <f>Бланк!AB59</f>
        <v>0</v>
      </c>
      <c r="D57" s="254">
        <f>Бланк!AC59</f>
        <v>0</v>
      </c>
      <c r="E57" s="254"/>
      <c r="F57" s="254">
        <f>Бланк!Y59</f>
        <v>0</v>
      </c>
      <c r="G57" s="254">
        <f>Бланк!AD59</f>
        <v>0</v>
      </c>
      <c r="H57" s="254">
        <f>Бланк!AK59</f>
        <v>0</v>
      </c>
      <c r="I57" s="254">
        <f>Бланк!AL59</f>
        <v>0</v>
      </c>
      <c r="J57" s="254">
        <f>Бланк!AM59</f>
        <v>0</v>
      </c>
      <c r="K57" s="254">
        <f>Бланк!AN59</f>
        <v>0</v>
      </c>
      <c r="L57" s="254">
        <f>Бланк!AO59</f>
        <v>0</v>
      </c>
      <c r="M57" s="255" t="str">
        <f>Бланк!AS59</f>
        <v>19.3</v>
      </c>
    </row>
    <row r="58" spans="1:13" x14ac:dyDescent="0.25">
      <c r="A58" s="253">
        <v>58</v>
      </c>
      <c r="B58" s="254">
        <f>Бланк!AA60</f>
        <v>0</v>
      </c>
      <c r="C58" s="254">
        <f>Бланк!AB60</f>
        <v>164</v>
      </c>
      <c r="D58" s="254">
        <f>Бланк!AC60</f>
        <v>0</v>
      </c>
      <c r="E58" s="254"/>
      <c r="F58" s="254">
        <f>Бланк!Y60</f>
        <v>18</v>
      </c>
      <c r="G58" s="254">
        <f>Бланк!AD60</f>
        <v>0</v>
      </c>
      <c r="H58" s="254">
        <f>Бланк!AK60</f>
        <v>0</v>
      </c>
      <c r="I58" s="254">
        <f>Бланк!AL60</f>
        <v>0</v>
      </c>
      <c r="J58" s="254">
        <f>Бланк!AM60</f>
        <v>0</v>
      </c>
      <c r="K58" s="254">
        <f>Бланк!AN60</f>
        <v>0</v>
      </c>
      <c r="L58" s="254">
        <f>Бланк!AO60</f>
        <v>0</v>
      </c>
      <c r="M58" s="255" t="str">
        <f>Бланк!AS60</f>
        <v>20.1</v>
      </c>
    </row>
    <row r="59" spans="1:13" x14ac:dyDescent="0.25">
      <c r="A59" s="253">
        <v>59</v>
      </c>
      <c r="B59" s="254">
        <f>Бланк!AA61</f>
        <v>0</v>
      </c>
      <c r="C59" s="254">
        <f>Бланк!AB61</f>
        <v>0</v>
      </c>
      <c r="D59" s="254">
        <f>Бланк!AC61</f>
        <v>0</v>
      </c>
      <c r="E59" s="254"/>
      <c r="F59" s="254">
        <f>Бланк!Y61</f>
        <v>18</v>
      </c>
      <c r="G59" s="254">
        <f>Бланк!AD61</f>
        <v>0</v>
      </c>
      <c r="H59" s="254">
        <f>Бланк!AK61</f>
        <v>0</v>
      </c>
      <c r="I59" s="254">
        <f>Бланк!AL61</f>
        <v>0</v>
      </c>
      <c r="J59" s="254">
        <f>Бланк!AM61</f>
        <v>0</v>
      </c>
      <c r="K59" s="254">
        <f>Бланк!AN61</f>
        <v>0</v>
      </c>
      <c r="L59" s="254">
        <f>Бланк!AO61</f>
        <v>0</v>
      </c>
      <c r="M59" s="255" t="str">
        <f>Бланк!AS61</f>
        <v>20.2</v>
      </c>
    </row>
    <row r="60" spans="1:13" x14ac:dyDescent="0.25">
      <c r="A60" s="253">
        <v>60</v>
      </c>
      <c r="B60" s="254">
        <f>Бланк!AA62</f>
        <v>0</v>
      </c>
      <c r="C60" s="254">
        <f>Бланк!AB62</f>
        <v>0</v>
      </c>
      <c r="D60" s="254">
        <f>Бланк!AC62</f>
        <v>0</v>
      </c>
      <c r="E60" s="254"/>
      <c r="F60" s="254">
        <f>Бланк!Y62</f>
        <v>0</v>
      </c>
      <c r="G60" s="254">
        <f>Бланк!AD62</f>
        <v>0</v>
      </c>
      <c r="H60" s="254">
        <f>Бланк!AK62</f>
        <v>0</v>
      </c>
      <c r="I60" s="254">
        <f>Бланк!AL62</f>
        <v>0</v>
      </c>
      <c r="J60" s="254">
        <f>Бланк!AM62</f>
        <v>0</v>
      </c>
      <c r="K60" s="254">
        <f>Бланк!AN62</f>
        <v>0</v>
      </c>
      <c r="L60" s="254">
        <f>Бланк!AO62</f>
        <v>0</v>
      </c>
      <c r="M60" s="255" t="str">
        <f>Бланк!AS62</f>
        <v>20.3</v>
      </c>
    </row>
    <row r="61" spans="1:13" x14ac:dyDescent="0.25">
      <c r="A61" s="253">
        <v>61</v>
      </c>
      <c r="B61" s="254">
        <f>Бланк!AA63</f>
        <v>0</v>
      </c>
      <c r="C61" s="254">
        <f>Бланк!AB63</f>
        <v>164</v>
      </c>
      <c r="D61" s="254">
        <f>Бланк!AC63</f>
        <v>0</v>
      </c>
      <c r="E61" s="254"/>
      <c r="F61" s="254">
        <f>Бланк!Y63</f>
        <v>18</v>
      </c>
      <c r="G61" s="254">
        <f>Бланк!AD63</f>
        <v>0</v>
      </c>
      <c r="H61" s="254">
        <f>Бланк!AK63</f>
        <v>0</v>
      </c>
      <c r="I61" s="254">
        <f>Бланк!AL63</f>
        <v>0</v>
      </c>
      <c r="J61" s="254">
        <f>Бланк!AM63</f>
        <v>0</v>
      </c>
      <c r="K61" s="254">
        <f>Бланк!AN63</f>
        <v>0</v>
      </c>
      <c r="L61" s="254">
        <f>Бланк!AO63</f>
        <v>0</v>
      </c>
      <c r="M61" s="255" t="str">
        <f>Бланк!AS63</f>
        <v>21.1</v>
      </c>
    </row>
    <row r="62" spans="1:13" x14ac:dyDescent="0.25">
      <c r="A62" s="253">
        <v>62</v>
      </c>
      <c r="B62" s="254">
        <f>Бланк!AA64</f>
        <v>0</v>
      </c>
      <c r="C62" s="254">
        <f>Бланк!AB64</f>
        <v>0</v>
      </c>
      <c r="D62" s="254">
        <f>Бланк!AC64</f>
        <v>0</v>
      </c>
      <c r="E62" s="254"/>
      <c r="F62" s="254">
        <f>Бланк!Y64</f>
        <v>18</v>
      </c>
      <c r="G62" s="254">
        <f>Бланк!AD64</f>
        <v>0</v>
      </c>
      <c r="H62" s="254">
        <f>Бланк!AK64</f>
        <v>0</v>
      </c>
      <c r="I62" s="254">
        <f>Бланк!AL64</f>
        <v>0</v>
      </c>
      <c r="J62" s="254">
        <f>Бланк!AM64</f>
        <v>0</v>
      </c>
      <c r="K62" s="254">
        <f>Бланк!AN64</f>
        <v>0</v>
      </c>
      <c r="L62" s="254">
        <f>Бланк!AO64</f>
        <v>0</v>
      </c>
      <c r="M62" s="255" t="str">
        <f>Бланк!AS64</f>
        <v>21.2</v>
      </c>
    </row>
    <row r="63" spans="1:13" x14ac:dyDescent="0.25">
      <c r="A63" s="253">
        <v>63</v>
      </c>
      <c r="B63" s="254">
        <f>Бланк!AA65</f>
        <v>0</v>
      </c>
      <c r="C63" s="254">
        <f>Бланк!AB65</f>
        <v>0</v>
      </c>
      <c r="D63" s="254">
        <f>Бланк!AC65</f>
        <v>0</v>
      </c>
      <c r="E63" s="254"/>
      <c r="F63" s="254">
        <f>Бланк!Y65</f>
        <v>0</v>
      </c>
      <c r="G63" s="254">
        <f>Бланк!AD65</f>
        <v>0</v>
      </c>
      <c r="H63" s="254">
        <f>Бланк!AK65</f>
        <v>0</v>
      </c>
      <c r="I63" s="254">
        <f>Бланк!AL65</f>
        <v>0</v>
      </c>
      <c r="J63" s="254">
        <f>Бланк!AM65</f>
        <v>0</v>
      </c>
      <c r="K63" s="254">
        <f>Бланк!AN65</f>
        <v>0</v>
      </c>
      <c r="L63" s="254">
        <f>Бланк!AO65</f>
        <v>0</v>
      </c>
      <c r="M63" s="255" t="str">
        <f>Бланк!AS65</f>
        <v>21.3</v>
      </c>
    </row>
    <row r="64" spans="1:13" x14ac:dyDescent="0.25">
      <c r="A64" s="253">
        <v>64</v>
      </c>
      <c r="B64" s="254">
        <f>Бланк!AA66</f>
        <v>0</v>
      </c>
      <c r="C64" s="254">
        <f>Бланк!AB66</f>
        <v>164</v>
      </c>
      <c r="D64" s="254">
        <f>Бланк!AC66</f>
        <v>0</v>
      </c>
      <c r="E64" s="254"/>
      <c r="F64" s="254">
        <f>Бланк!Y66</f>
        <v>18</v>
      </c>
      <c r="G64" s="254">
        <f>Бланк!AD66</f>
        <v>0</v>
      </c>
      <c r="H64" s="254">
        <f>Бланк!AK66</f>
        <v>0</v>
      </c>
      <c r="I64" s="254">
        <f>Бланк!AL66</f>
        <v>0</v>
      </c>
      <c r="J64" s="254">
        <f>Бланк!AM66</f>
        <v>0</v>
      </c>
      <c r="K64" s="254">
        <f>Бланк!AN66</f>
        <v>0</v>
      </c>
      <c r="L64" s="254">
        <f>Бланк!AO66</f>
        <v>0</v>
      </c>
      <c r="M64" s="255" t="str">
        <f>Бланк!AS66</f>
        <v>22.1</v>
      </c>
    </row>
    <row r="65" spans="1:13" x14ac:dyDescent="0.25">
      <c r="A65" s="253">
        <v>65</v>
      </c>
      <c r="B65" s="254">
        <f>Бланк!AA67</f>
        <v>0</v>
      </c>
      <c r="C65" s="254">
        <f>Бланк!AB67</f>
        <v>0</v>
      </c>
      <c r="D65" s="254">
        <f>Бланк!AC67</f>
        <v>0</v>
      </c>
      <c r="E65" s="254"/>
      <c r="F65" s="254">
        <f>Бланк!Y67</f>
        <v>18</v>
      </c>
      <c r="G65" s="254">
        <f>Бланк!AD67</f>
        <v>0</v>
      </c>
      <c r="H65" s="254">
        <f>Бланк!AK67</f>
        <v>0</v>
      </c>
      <c r="I65" s="254">
        <f>Бланк!AL67</f>
        <v>0</v>
      </c>
      <c r="J65" s="254">
        <f>Бланк!AM67</f>
        <v>0</v>
      </c>
      <c r="K65" s="254">
        <f>Бланк!AN67</f>
        <v>0</v>
      </c>
      <c r="L65" s="254">
        <f>Бланк!AO67</f>
        <v>0</v>
      </c>
      <c r="M65" s="255" t="str">
        <f>Бланк!AS67</f>
        <v>22.2</v>
      </c>
    </row>
    <row r="66" spans="1:13" x14ac:dyDescent="0.25">
      <c r="A66" s="253">
        <v>66</v>
      </c>
      <c r="B66" s="254">
        <f>Бланк!AA68</f>
        <v>0</v>
      </c>
      <c r="C66" s="254">
        <f>Бланк!AB68</f>
        <v>0</v>
      </c>
      <c r="D66" s="254">
        <f>Бланк!AC68</f>
        <v>0</v>
      </c>
      <c r="E66" s="254"/>
      <c r="F66" s="254">
        <f>Бланк!Y68</f>
        <v>0</v>
      </c>
      <c r="G66" s="254">
        <f>Бланк!AD68</f>
        <v>0</v>
      </c>
      <c r="H66" s="254">
        <f>Бланк!AK68</f>
        <v>0</v>
      </c>
      <c r="I66" s="254">
        <f>Бланк!AL68</f>
        <v>0</v>
      </c>
      <c r="J66" s="254">
        <f>Бланк!AM68</f>
        <v>0</v>
      </c>
      <c r="K66" s="254">
        <f>Бланк!AN68</f>
        <v>0</v>
      </c>
      <c r="L66" s="254">
        <f>Бланк!AO68</f>
        <v>0</v>
      </c>
      <c r="M66" s="255" t="str">
        <f>Бланк!AS68</f>
        <v>22.3</v>
      </c>
    </row>
    <row r="67" spans="1:13" x14ac:dyDescent="0.25">
      <c r="A67" s="253">
        <v>67</v>
      </c>
      <c r="B67" s="254">
        <f>Бланк!AA69</f>
        <v>0</v>
      </c>
      <c r="C67" s="254">
        <f>Бланк!AB69</f>
        <v>164</v>
      </c>
      <c r="D67" s="254">
        <f>Бланк!AC69</f>
        <v>0</v>
      </c>
      <c r="E67" s="254"/>
      <c r="F67" s="254">
        <f>Бланк!Y69</f>
        <v>18</v>
      </c>
      <c r="G67" s="254">
        <f>Бланк!AD69</f>
        <v>0</v>
      </c>
      <c r="H67" s="254">
        <f>Бланк!AK69</f>
        <v>0</v>
      </c>
      <c r="I67" s="254">
        <f>Бланк!AL69</f>
        <v>0</v>
      </c>
      <c r="J67" s="254">
        <f>Бланк!AM69</f>
        <v>0</v>
      </c>
      <c r="K67" s="254">
        <f>Бланк!AN69</f>
        <v>0</v>
      </c>
      <c r="L67" s="254">
        <f>Бланк!AO69</f>
        <v>0</v>
      </c>
      <c r="M67" s="255" t="str">
        <f>Бланк!AS69</f>
        <v>23.1</v>
      </c>
    </row>
    <row r="68" spans="1:13" x14ac:dyDescent="0.25">
      <c r="A68" s="253">
        <v>68</v>
      </c>
      <c r="B68" s="254">
        <f>Бланк!AA70</f>
        <v>0</v>
      </c>
      <c r="C68" s="254">
        <f>Бланк!AB70</f>
        <v>0</v>
      </c>
      <c r="D68" s="254">
        <f>Бланк!AC70</f>
        <v>0</v>
      </c>
      <c r="E68" s="254"/>
      <c r="F68" s="254">
        <f>Бланк!Y70</f>
        <v>18</v>
      </c>
      <c r="G68" s="254">
        <f>Бланк!AD70</f>
        <v>0</v>
      </c>
      <c r="H68" s="254">
        <f>Бланк!AK70</f>
        <v>0</v>
      </c>
      <c r="I68" s="254">
        <f>Бланк!AL70</f>
        <v>0</v>
      </c>
      <c r="J68" s="254">
        <f>Бланк!AM70</f>
        <v>0</v>
      </c>
      <c r="K68" s="254">
        <f>Бланк!AN70</f>
        <v>0</v>
      </c>
      <c r="L68" s="254">
        <f>Бланк!AO70</f>
        <v>0</v>
      </c>
      <c r="M68" s="255" t="str">
        <f>Бланк!AS70</f>
        <v>23.2</v>
      </c>
    </row>
    <row r="69" spans="1:13" x14ac:dyDescent="0.25">
      <c r="A69" s="253">
        <v>69</v>
      </c>
      <c r="B69" s="254">
        <f>Бланк!AA71</f>
        <v>0</v>
      </c>
      <c r="C69" s="254">
        <f>Бланк!AB71</f>
        <v>0</v>
      </c>
      <c r="D69" s="254">
        <f>Бланк!AC71</f>
        <v>0</v>
      </c>
      <c r="E69" s="254"/>
      <c r="F69" s="254">
        <f>Бланк!Y71</f>
        <v>0</v>
      </c>
      <c r="G69" s="254">
        <f>Бланк!AD71</f>
        <v>0</v>
      </c>
      <c r="H69" s="254">
        <f>Бланк!AK71</f>
        <v>0</v>
      </c>
      <c r="I69" s="254">
        <f>Бланк!AL71</f>
        <v>0</v>
      </c>
      <c r="J69" s="254">
        <f>Бланк!AM71</f>
        <v>0</v>
      </c>
      <c r="K69" s="254">
        <f>Бланк!AN71</f>
        <v>0</v>
      </c>
      <c r="L69" s="254">
        <f>Бланк!AO71</f>
        <v>0</v>
      </c>
      <c r="M69" s="255" t="str">
        <f>Бланк!AS71</f>
        <v>23.3</v>
      </c>
    </row>
    <row r="70" spans="1:13" x14ac:dyDescent="0.25">
      <c r="A70" s="253">
        <v>70</v>
      </c>
      <c r="B70" s="254">
        <f>Бланк!AA72</f>
        <v>0</v>
      </c>
      <c r="C70" s="254">
        <f>Бланк!AB72</f>
        <v>164</v>
      </c>
      <c r="D70" s="254">
        <f>Бланк!AC72</f>
        <v>0</v>
      </c>
      <c r="E70" s="254"/>
      <c r="F70" s="254">
        <f>Бланк!Y72</f>
        <v>18</v>
      </c>
      <c r="G70" s="254">
        <f>Бланк!AD72</f>
        <v>0</v>
      </c>
      <c r="H70" s="254">
        <f>Бланк!AK72</f>
        <v>0</v>
      </c>
      <c r="I70" s="254">
        <f>Бланк!AL72</f>
        <v>0</v>
      </c>
      <c r="J70" s="254">
        <f>Бланк!AM72</f>
        <v>0</v>
      </c>
      <c r="K70" s="254">
        <f>Бланк!AN72</f>
        <v>0</v>
      </c>
      <c r="L70" s="254">
        <f>Бланк!AO72</f>
        <v>0</v>
      </c>
      <c r="M70" s="255" t="str">
        <f>Бланк!AS72</f>
        <v>24.1</v>
      </c>
    </row>
    <row r="71" spans="1:13" x14ac:dyDescent="0.25">
      <c r="A71" s="253">
        <v>71</v>
      </c>
      <c r="B71" s="254">
        <f>Бланк!AA73</f>
        <v>0</v>
      </c>
      <c r="C71" s="254">
        <f>Бланк!AB73</f>
        <v>0</v>
      </c>
      <c r="D71" s="254">
        <f>Бланк!AC73</f>
        <v>0</v>
      </c>
      <c r="E71" s="254"/>
      <c r="F71" s="254">
        <f>Бланк!Y73</f>
        <v>18</v>
      </c>
      <c r="G71" s="254">
        <f>Бланк!AD73</f>
        <v>0</v>
      </c>
      <c r="H71" s="254">
        <f>Бланк!AK73</f>
        <v>0</v>
      </c>
      <c r="I71" s="254">
        <f>Бланк!AL73</f>
        <v>0</v>
      </c>
      <c r="J71" s="254">
        <f>Бланк!AM73</f>
        <v>0</v>
      </c>
      <c r="K71" s="254">
        <f>Бланк!AN73</f>
        <v>0</v>
      </c>
      <c r="L71" s="254">
        <f>Бланк!AO73</f>
        <v>0</v>
      </c>
      <c r="M71" s="255" t="str">
        <f>Бланк!AS73</f>
        <v>24.2</v>
      </c>
    </row>
    <row r="72" spans="1:13" x14ac:dyDescent="0.25">
      <c r="A72" s="253">
        <v>72</v>
      </c>
      <c r="B72" s="254">
        <f>Бланк!AA74</f>
        <v>0</v>
      </c>
      <c r="C72" s="254">
        <f>Бланк!AB74</f>
        <v>0</v>
      </c>
      <c r="D72" s="254">
        <f>Бланк!AC74</f>
        <v>0</v>
      </c>
      <c r="E72" s="254"/>
      <c r="F72" s="254">
        <f>Бланк!Y74</f>
        <v>0</v>
      </c>
      <c r="G72" s="254">
        <f>Бланк!AD74</f>
        <v>0</v>
      </c>
      <c r="H72" s="254">
        <f>Бланк!AK74</f>
        <v>0</v>
      </c>
      <c r="I72" s="254">
        <f>Бланк!AL74</f>
        <v>0</v>
      </c>
      <c r="J72" s="254">
        <f>Бланк!AM74</f>
        <v>0</v>
      </c>
      <c r="K72" s="254">
        <f>Бланк!AN74</f>
        <v>0</v>
      </c>
      <c r="L72" s="254">
        <f>Бланк!AO74</f>
        <v>0</v>
      </c>
      <c r="M72" s="255" t="str">
        <f>Бланк!AS74</f>
        <v>24.3</v>
      </c>
    </row>
    <row r="73" spans="1:13" x14ac:dyDescent="0.25">
      <c r="A73" s="253">
        <v>73</v>
      </c>
      <c r="B73" s="254">
        <f>Бланк!AA75</f>
        <v>0</v>
      </c>
      <c r="C73" s="254">
        <f>Бланк!AB75</f>
        <v>164</v>
      </c>
      <c r="D73" s="254">
        <f>Бланк!AC75</f>
        <v>0</v>
      </c>
      <c r="E73" s="254"/>
      <c r="F73" s="254">
        <f>Бланк!Y75</f>
        <v>18</v>
      </c>
      <c r="G73" s="254">
        <f>Бланк!AD75</f>
        <v>0</v>
      </c>
      <c r="H73" s="254">
        <f>Бланк!AK75</f>
        <v>0</v>
      </c>
      <c r="I73" s="254">
        <f>Бланк!AL75</f>
        <v>0</v>
      </c>
      <c r="J73" s="254">
        <f>Бланк!AM75</f>
        <v>0</v>
      </c>
      <c r="K73" s="254">
        <f>Бланк!AN75</f>
        <v>0</v>
      </c>
      <c r="L73" s="254">
        <f>Бланк!AO75</f>
        <v>0</v>
      </c>
      <c r="M73" s="255" t="str">
        <f>Бланк!AS75</f>
        <v>25.1</v>
      </c>
    </row>
    <row r="74" spans="1:13" x14ac:dyDescent="0.25">
      <c r="A74" s="253">
        <v>74</v>
      </c>
      <c r="B74" s="254">
        <f>Бланк!AA76</f>
        <v>0</v>
      </c>
      <c r="C74" s="254">
        <f>Бланк!AB76</f>
        <v>0</v>
      </c>
      <c r="D74" s="254">
        <f>Бланк!AC76</f>
        <v>0</v>
      </c>
      <c r="E74" s="254"/>
      <c r="F74" s="254">
        <f>Бланк!Y76</f>
        <v>18</v>
      </c>
      <c r="G74" s="254">
        <f>Бланк!AD76</f>
        <v>0</v>
      </c>
      <c r="H74" s="254">
        <f>Бланк!AK76</f>
        <v>0</v>
      </c>
      <c r="I74" s="254">
        <f>Бланк!AL76</f>
        <v>0</v>
      </c>
      <c r="J74" s="254">
        <f>Бланк!AM76</f>
        <v>0</v>
      </c>
      <c r="K74" s="254">
        <f>Бланк!AN76</f>
        <v>0</v>
      </c>
      <c r="L74" s="254">
        <f>Бланк!AO76</f>
        <v>0</v>
      </c>
      <c r="M74" s="255" t="str">
        <f>Бланк!AS76</f>
        <v>25.2</v>
      </c>
    </row>
    <row r="75" spans="1:13" x14ac:dyDescent="0.25">
      <c r="A75" s="253">
        <v>75</v>
      </c>
      <c r="B75" s="254">
        <f>Бланк!AA77</f>
        <v>0</v>
      </c>
      <c r="C75" s="254">
        <f>Бланк!AB77</f>
        <v>0</v>
      </c>
      <c r="D75" s="254">
        <f>Бланк!AC77</f>
        <v>0</v>
      </c>
      <c r="E75" s="254"/>
      <c r="F75" s="254">
        <f>Бланк!Y77</f>
        <v>0</v>
      </c>
      <c r="G75" s="254">
        <f>Бланк!AD77</f>
        <v>0</v>
      </c>
      <c r="H75" s="254">
        <f>Бланк!AK77</f>
        <v>0</v>
      </c>
      <c r="I75" s="254">
        <f>Бланк!AL77</f>
        <v>0</v>
      </c>
      <c r="J75" s="254">
        <f>Бланк!AM77</f>
        <v>0</v>
      </c>
      <c r="K75" s="254">
        <f>Бланк!AN77</f>
        <v>0</v>
      </c>
      <c r="L75" s="254">
        <f>Бланк!AO77</f>
        <v>0</v>
      </c>
      <c r="M75" s="255" t="str">
        <f>Бланк!AS77</f>
        <v>25.3</v>
      </c>
    </row>
    <row r="76" spans="1:13" x14ac:dyDescent="0.25">
      <c r="A76" s="253">
        <v>76</v>
      </c>
      <c r="B76" s="254">
        <f>Бланк!AA78</f>
        <v>0</v>
      </c>
      <c r="C76" s="254">
        <f>Бланк!AB78</f>
        <v>164</v>
      </c>
      <c r="D76" s="254">
        <f>Бланк!AC78</f>
        <v>0</v>
      </c>
      <c r="E76" s="254"/>
      <c r="F76" s="254">
        <f>Бланк!Y78</f>
        <v>18</v>
      </c>
      <c r="G76" s="254">
        <f>Бланк!AD78</f>
        <v>0</v>
      </c>
      <c r="H76" s="254">
        <f>Бланк!AK78</f>
        <v>0</v>
      </c>
      <c r="I76" s="254">
        <f>Бланк!AL78</f>
        <v>0</v>
      </c>
      <c r="J76" s="254">
        <f>Бланк!AM78</f>
        <v>0</v>
      </c>
      <c r="K76" s="254">
        <f>Бланк!AN78</f>
        <v>0</v>
      </c>
      <c r="L76" s="254">
        <f>Бланк!AO78</f>
        <v>0</v>
      </c>
      <c r="M76" s="255" t="str">
        <f>Бланк!AS78</f>
        <v>26.1</v>
      </c>
    </row>
    <row r="77" spans="1:13" x14ac:dyDescent="0.25">
      <c r="A77" s="253">
        <v>77</v>
      </c>
      <c r="B77" s="254">
        <f>Бланк!AA79</f>
        <v>0</v>
      </c>
      <c r="C77" s="254">
        <f>Бланк!AB79</f>
        <v>0</v>
      </c>
      <c r="D77" s="254">
        <f>Бланк!AC79</f>
        <v>0</v>
      </c>
      <c r="E77" s="254"/>
      <c r="F77" s="254">
        <f>Бланк!Y79</f>
        <v>18</v>
      </c>
      <c r="G77" s="254">
        <f>Бланк!AD79</f>
        <v>0</v>
      </c>
      <c r="H77" s="254">
        <f>Бланк!AK79</f>
        <v>0</v>
      </c>
      <c r="I77" s="254">
        <f>Бланк!AL79</f>
        <v>0</v>
      </c>
      <c r="J77" s="254">
        <f>Бланк!AM79</f>
        <v>0</v>
      </c>
      <c r="K77" s="254">
        <f>Бланк!AN79</f>
        <v>0</v>
      </c>
      <c r="L77" s="254">
        <f>Бланк!AO79</f>
        <v>0</v>
      </c>
      <c r="M77" s="255" t="str">
        <f>Бланк!AS79</f>
        <v>26.2</v>
      </c>
    </row>
    <row r="78" spans="1:13" x14ac:dyDescent="0.25">
      <c r="A78" s="253">
        <v>78</v>
      </c>
      <c r="B78" s="254">
        <f>Бланк!AA80</f>
        <v>0</v>
      </c>
      <c r="C78" s="254">
        <f>Бланк!AB80</f>
        <v>0</v>
      </c>
      <c r="D78" s="254">
        <f>Бланк!AC80</f>
        <v>0</v>
      </c>
      <c r="E78" s="254"/>
      <c r="F78" s="254">
        <f>Бланк!Y80</f>
        <v>0</v>
      </c>
      <c r="G78" s="254">
        <f>Бланк!AD80</f>
        <v>0</v>
      </c>
      <c r="H78" s="254">
        <f>Бланк!AK80</f>
        <v>0</v>
      </c>
      <c r="I78" s="254">
        <f>Бланк!AL80</f>
        <v>0</v>
      </c>
      <c r="J78" s="254">
        <f>Бланк!AM80</f>
        <v>0</v>
      </c>
      <c r="K78" s="254">
        <f>Бланк!AN80</f>
        <v>0</v>
      </c>
      <c r="L78" s="254">
        <f>Бланк!AO80</f>
        <v>0</v>
      </c>
      <c r="M78" s="255" t="str">
        <f>Бланк!AS80</f>
        <v>26.3</v>
      </c>
    </row>
    <row r="79" spans="1:13" x14ac:dyDescent="0.25">
      <c r="A79" s="253">
        <v>79</v>
      </c>
      <c r="B79" s="254">
        <f>Бланк!AA81</f>
        <v>0</v>
      </c>
      <c r="C79" s="254">
        <f>Бланк!AB81</f>
        <v>164</v>
      </c>
      <c r="D79" s="254">
        <f>Бланк!AC81</f>
        <v>0</v>
      </c>
      <c r="E79" s="254"/>
      <c r="F79" s="254">
        <f>Бланк!Y81</f>
        <v>18</v>
      </c>
      <c r="G79" s="254">
        <f>Бланк!AD81</f>
        <v>0</v>
      </c>
      <c r="H79" s="254">
        <f>Бланк!AK81</f>
        <v>0</v>
      </c>
      <c r="I79" s="254">
        <f>Бланк!AL81</f>
        <v>0</v>
      </c>
      <c r="J79" s="254">
        <f>Бланк!AM81</f>
        <v>0</v>
      </c>
      <c r="K79" s="254">
        <f>Бланк!AN81</f>
        <v>0</v>
      </c>
      <c r="L79" s="254">
        <f>Бланк!AO81</f>
        <v>0</v>
      </c>
      <c r="M79" s="255" t="str">
        <f>Бланк!AS81</f>
        <v>27.1</v>
      </c>
    </row>
    <row r="80" spans="1:13" x14ac:dyDescent="0.25">
      <c r="A80" s="253">
        <v>80</v>
      </c>
      <c r="B80" s="254">
        <f>Бланк!AA82</f>
        <v>0</v>
      </c>
      <c r="C80" s="254">
        <f>Бланк!AB82</f>
        <v>0</v>
      </c>
      <c r="D80" s="254">
        <f>Бланк!AC82</f>
        <v>0</v>
      </c>
      <c r="E80" s="254"/>
      <c r="F80" s="254">
        <f>Бланк!Y82</f>
        <v>18</v>
      </c>
      <c r="G80" s="254">
        <f>Бланк!AD82</f>
        <v>0</v>
      </c>
      <c r="H80" s="254">
        <f>Бланк!AK82</f>
        <v>0</v>
      </c>
      <c r="I80" s="254">
        <f>Бланк!AL82</f>
        <v>0</v>
      </c>
      <c r="J80" s="254">
        <f>Бланк!AM82</f>
        <v>0</v>
      </c>
      <c r="K80" s="254">
        <f>Бланк!AN82</f>
        <v>0</v>
      </c>
      <c r="L80" s="254">
        <f>Бланк!AO82</f>
        <v>0</v>
      </c>
      <c r="M80" s="255" t="str">
        <f>Бланк!AS82</f>
        <v>27.2</v>
      </c>
    </row>
    <row r="81" spans="1:13" x14ac:dyDescent="0.25">
      <c r="A81" s="253">
        <v>81</v>
      </c>
      <c r="B81" s="254">
        <f>Бланк!AA83</f>
        <v>0</v>
      </c>
      <c r="C81" s="254">
        <f>Бланк!AB83</f>
        <v>0</v>
      </c>
      <c r="D81" s="254">
        <f>Бланк!AC83</f>
        <v>0</v>
      </c>
      <c r="E81" s="254"/>
      <c r="F81" s="254">
        <f>Бланк!Y83</f>
        <v>0</v>
      </c>
      <c r="G81" s="254">
        <f>Бланк!AD83</f>
        <v>0</v>
      </c>
      <c r="H81" s="254">
        <f>Бланк!AK83</f>
        <v>0</v>
      </c>
      <c r="I81" s="254">
        <f>Бланк!AL83</f>
        <v>0</v>
      </c>
      <c r="J81" s="254">
        <f>Бланк!AM83</f>
        <v>0</v>
      </c>
      <c r="K81" s="254">
        <f>Бланк!AN83</f>
        <v>0</v>
      </c>
      <c r="L81" s="254">
        <f>Бланк!AO83</f>
        <v>0</v>
      </c>
      <c r="M81" s="255" t="str">
        <f>Бланк!AS83</f>
        <v>27.3</v>
      </c>
    </row>
    <row r="82" spans="1:13" x14ac:dyDescent="0.25">
      <c r="A82" s="253">
        <v>82</v>
      </c>
      <c r="B82" s="254">
        <f>Бланк!AA84</f>
        <v>0</v>
      </c>
      <c r="C82" s="254">
        <f>Бланк!AB84</f>
        <v>164</v>
      </c>
      <c r="D82" s="254">
        <f>Бланк!AC84</f>
        <v>0</v>
      </c>
      <c r="E82" s="254"/>
      <c r="F82" s="254">
        <f>Бланк!Y84</f>
        <v>18</v>
      </c>
      <c r="G82" s="254">
        <f>Бланк!AD84</f>
        <v>0</v>
      </c>
      <c r="H82" s="254">
        <f>Бланк!AK84</f>
        <v>0</v>
      </c>
      <c r="I82" s="254">
        <f>Бланк!AL84</f>
        <v>0</v>
      </c>
      <c r="J82" s="254">
        <f>Бланк!AM84</f>
        <v>0</v>
      </c>
      <c r="K82" s="254">
        <f>Бланк!AN84</f>
        <v>0</v>
      </c>
      <c r="L82" s="254">
        <f>Бланк!AO84</f>
        <v>0</v>
      </c>
      <c r="M82" s="255" t="str">
        <f>Бланк!AS84</f>
        <v>28.1</v>
      </c>
    </row>
    <row r="83" spans="1:13" x14ac:dyDescent="0.25">
      <c r="A83" s="253">
        <v>83</v>
      </c>
      <c r="B83" s="254">
        <f>Бланк!AA85</f>
        <v>0</v>
      </c>
      <c r="C83" s="254">
        <f>Бланк!AB85</f>
        <v>0</v>
      </c>
      <c r="D83" s="254">
        <f>Бланк!AC85</f>
        <v>0</v>
      </c>
      <c r="E83" s="254"/>
      <c r="F83" s="254">
        <f>Бланк!Y85</f>
        <v>18</v>
      </c>
      <c r="G83" s="254">
        <f>Бланк!AD85</f>
        <v>0</v>
      </c>
      <c r="H83" s="254">
        <f>Бланк!AK85</f>
        <v>0</v>
      </c>
      <c r="I83" s="254">
        <f>Бланк!AL85</f>
        <v>0</v>
      </c>
      <c r="J83" s="254">
        <f>Бланк!AM85</f>
        <v>0</v>
      </c>
      <c r="K83" s="254">
        <f>Бланк!AN85</f>
        <v>0</v>
      </c>
      <c r="L83" s="254">
        <f>Бланк!AO85</f>
        <v>0</v>
      </c>
      <c r="M83" s="255" t="str">
        <f>Бланк!AS85</f>
        <v>28.2</v>
      </c>
    </row>
    <row r="84" spans="1:13" x14ac:dyDescent="0.25">
      <c r="A84" s="253">
        <v>84</v>
      </c>
      <c r="B84" s="254">
        <f>Бланк!AA86</f>
        <v>0</v>
      </c>
      <c r="C84" s="254">
        <f>Бланк!AB86</f>
        <v>0</v>
      </c>
      <c r="D84" s="254">
        <f>Бланк!AC86</f>
        <v>0</v>
      </c>
      <c r="E84" s="254"/>
      <c r="F84" s="254">
        <f>Бланк!Y86</f>
        <v>0</v>
      </c>
      <c r="G84" s="254">
        <f>Бланк!AD86</f>
        <v>0</v>
      </c>
      <c r="H84" s="254">
        <f>Бланк!AK86</f>
        <v>0</v>
      </c>
      <c r="I84" s="254">
        <f>Бланк!AL86</f>
        <v>0</v>
      </c>
      <c r="J84" s="254">
        <f>Бланк!AM86</f>
        <v>0</v>
      </c>
      <c r="K84" s="254">
        <f>Бланк!AN86</f>
        <v>0</v>
      </c>
      <c r="L84" s="254">
        <f>Бланк!AO86</f>
        <v>0</v>
      </c>
      <c r="M84" s="255" t="str">
        <f>Бланк!AS86</f>
        <v>28.3</v>
      </c>
    </row>
    <row r="85" spans="1:13" x14ac:dyDescent="0.25">
      <c r="A85" s="253">
        <v>85</v>
      </c>
      <c r="B85" s="254">
        <f>Бланк!AA87</f>
        <v>0</v>
      </c>
      <c r="C85" s="254">
        <f>Бланк!AB87</f>
        <v>164</v>
      </c>
      <c r="D85" s="254">
        <f>Бланк!AC87</f>
        <v>0</v>
      </c>
      <c r="E85" s="254"/>
      <c r="F85" s="254">
        <f>Бланк!Y87</f>
        <v>18</v>
      </c>
      <c r="G85" s="254">
        <f>Бланк!AD87</f>
        <v>0</v>
      </c>
      <c r="H85" s="254">
        <f>Бланк!AK87</f>
        <v>0</v>
      </c>
      <c r="I85" s="254">
        <f>Бланк!AL87</f>
        <v>0</v>
      </c>
      <c r="J85" s="254">
        <f>Бланк!AM87</f>
        <v>0</v>
      </c>
      <c r="K85" s="254">
        <f>Бланк!AN87</f>
        <v>0</v>
      </c>
      <c r="L85" s="254">
        <f>Бланк!AO87</f>
        <v>0</v>
      </c>
      <c r="M85" s="255" t="str">
        <f>Бланк!AS87</f>
        <v>29.1</v>
      </c>
    </row>
    <row r="86" spans="1:13" x14ac:dyDescent="0.25">
      <c r="A86" s="253">
        <v>86</v>
      </c>
      <c r="B86" s="254">
        <f>Бланк!AA88</f>
        <v>0</v>
      </c>
      <c r="C86" s="254">
        <f>Бланк!AB88</f>
        <v>0</v>
      </c>
      <c r="D86" s="254">
        <f>Бланк!AC88</f>
        <v>0</v>
      </c>
      <c r="E86" s="254"/>
      <c r="F86" s="254">
        <f>Бланк!Y88</f>
        <v>18</v>
      </c>
      <c r="G86" s="254">
        <f>Бланк!AD88</f>
        <v>0</v>
      </c>
      <c r="H86" s="254">
        <f>Бланк!AK88</f>
        <v>0</v>
      </c>
      <c r="I86" s="254">
        <f>Бланк!AL88</f>
        <v>0</v>
      </c>
      <c r="J86" s="254">
        <f>Бланк!AM88</f>
        <v>0</v>
      </c>
      <c r="K86" s="254">
        <f>Бланк!AN88</f>
        <v>0</v>
      </c>
      <c r="L86" s="254">
        <f>Бланк!AO88</f>
        <v>0</v>
      </c>
      <c r="M86" s="255" t="str">
        <f>Бланк!AS88</f>
        <v>29.2</v>
      </c>
    </row>
    <row r="87" spans="1:13" x14ac:dyDescent="0.25">
      <c r="A87" s="253">
        <v>87</v>
      </c>
      <c r="B87" s="254">
        <f>Бланк!AA89</f>
        <v>0</v>
      </c>
      <c r="C87" s="254">
        <f>Бланк!AB89</f>
        <v>0</v>
      </c>
      <c r="D87" s="254">
        <f>Бланк!AC89</f>
        <v>0</v>
      </c>
      <c r="E87" s="254"/>
      <c r="F87" s="254">
        <f>Бланк!Y89</f>
        <v>0</v>
      </c>
      <c r="G87" s="254">
        <f>Бланк!AD89</f>
        <v>0</v>
      </c>
      <c r="H87" s="254">
        <f>Бланк!AK89</f>
        <v>0</v>
      </c>
      <c r="I87" s="254">
        <f>Бланк!AL89</f>
        <v>0</v>
      </c>
      <c r="J87" s="254">
        <f>Бланк!AM89</f>
        <v>0</v>
      </c>
      <c r="K87" s="254">
        <f>Бланк!AN89</f>
        <v>0</v>
      </c>
      <c r="L87" s="254">
        <f>Бланк!AO89</f>
        <v>0</v>
      </c>
      <c r="M87" s="255" t="str">
        <f>Бланк!AS89</f>
        <v>29.3</v>
      </c>
    </row>
    <row r="88" spans="1:13" x14ac:dyDescent="0.25">
      <c r="A88" s="253">
        <v>88</v>
      </c>
      <c r="B88" s="254">
        <f>Бланк!AA90</f>
        <v>0</v>
      </c>
      <c r="C88" s="254">
        <f>Бланк!AB90</f>
        <v>164</v>
      </c>
      <c r="D88" s="254">
        <f>Бланк!AC90</f>
        <v>0</v>
      </c>
      <c r="E88" s="254"/>
      <c r="F88" s="254">
        <f>Бланк!Y90</f>
        <v>18</v>
      </c>
      <c r="G88" s="254">
        <f>Бланк!AD90</f>
        <v>0</v>
      </c>
      <c r="H88" s="254">
        <f>Бланк!AK90</f>
        <v>0</v>
      </c>
      <c r="I88" s="254">
        <f>Бланк!AL90</f>
        <v>0</v>
      </c>
      <c r="J88" s="254">
        <f>Бланк!AM90</f>
        <v>0</v>
      </c>
      <c r="K88" s="254">
        <f>Бланк!AN90</f>
        <v>0</v>
      </c>
      <c r="L88" s="254">
        <f>Бланк!AO90</f>
        <v>0</v>
      </c>
      <c r="M88" s="255" t="str">
        <f>Бланк!AS90</f>
        <v>30.1</v>
      </c>
    </row>
    <row r="89" spans="1:13" x14ac:dyDescent="0.25">
      <c r="A89" s="253">
        <v>89</v>
      </c>
      <c r="B89" s="254">
        <f>Бланк!AA91</f>
        <v>0</v>
      </c>
      <c r="C89" s="254">
        <f>Бланк!AB91</f>
        <v>0</v>
      </c>
      <c r="D89" s="254">
        <f>Бланк!AC91</f>
        <v>0</v>
      </c>
      <c r="E89" s="254"/>
      <c r="F89" s="254">
        <f>Бланк!Y91</f>
        <v>18</v>
      </c>
      <c r="G89" s="254">
        <f>Бланк!AD91</f>
        <v>0</v>
      </c>
      <c r="H89" s="254">
        <f>Бланк!AK91</f>
        <v>0</v>
      </c>
      <c r="I89" s="254">
        <f>Бланк!AL91</f>
        <v>0</v>
      </c>
      <c r="J89" s="254">
        <f>Бланк!AM91</f>
        <v>0</v>
      </c>
      <c r="K89" s="254">
        <f>Бланк!AN91</f>
        <v>0</v>
      </c>
      <c r="L89" s="254">
        <f>Бланк!AO91</f>
        <v>0</v>
      </c>
      <c r="M89" s="255" t="str">
        <f>Бланк!AS91</f>
        <v>30.2</v>
      </c>
    </row>
    <row r="90" spans="1:13" x14ac:dyDescent="0.25">
      <c r="A90" s="253">
        <v>90</v>
      </c>
      <c r="B90" s="254">
        <f>Бланк!AA92</f>
        <v>0</v>
      </c>
      <c r="C90" s="254">
        <f>Бланк!AB92</f>
        <v>0</v>
      </c>
      <c r="D90" s="254">
        <f>Бланк!AC92</f>
        <v>0</v>
      </c>
      <c r="E90" s="254"/>
      <c r="F90" s="254">
        <f>Бланк!Y92</f>
        <v>0</v>
      </c>
      <c r="G90" s="254">
        <f>Бланк!AD92</f>
        <v>0</v>
      </c>
      <c r="H90" s="254">
        <f>Бланк!AK92</f>
        <v>0</v>
      </c>
      <c r="I90" s="254">
        <f>Бланк!AL92</f>
        <v>0</v>
      </c>
      <c r="J90" s="254">
        <f>Бланк!AM92</f>
        <v>0</v>
      </c>
      <c r="K90" s="254">
        <f>Бланк!AN92</f>
        <v>0</v>
      </c>
      <c r="L90" s="254">
        <f>Бланк!AO92</f>
        <v>0</v>
      </c>
      <c r="M90" s="255" t="str">
        <f>Бланк!AS92</f>
        <v>30.3</v>
      </c>
    </row>
    <row r="91" spans="1:13" x14ac:dyDescent="0.25">
      <c r="A91" s="1"/>
    </row>
    <row r="92" spans="1:13" x14ac:dyDescent="0.25">
      <c r="A92" s="1"/>
    </row>
    <row r="93" spans="1:13" x14ac:dyDescent="0.25">
      <c r="A93" s="1"/>
    </row>
  </sheetData>
  <sheetProtection password="C668"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O1" workbookViewId="0">
      <selection activeCell="N1" sqref="A1:N1048576"/>
    </sheetView>
  </sheetViews>
  <sheetFormatPr defaultColWidth="10.42578125" defaultRowHeight="15" x14ac:dyDescent="0.25"/>
  <cols>
    <col min="1" max="12" width="10.42578125" style="221" hidden="1" customWidth="1"/>
    <col min="13" max="13" width="18.5703125" style="222" hidden="1" customWidth="1"/>
    <col min="14" max="14" width="0" style="2" hidden="1" customWidth="1"/>
    <col min="15" max="16384" width="10.42578125" style="2"/>
  </cols>
  <sheetData>
    <row r="1" spans="1:16" ht="25.5" customHeight="1" x14ac:dyDescent="0.3">
      <c r="A1" s="361" t="s">
        <v>56</v>
      </c>
      <c r="B1" s="361"/>
      <c r="C1" s="361"/>
      <c r="D1" s="361"/>
      <c r="E1" s="361"/>
      <c r="F1" s="361"/>
      <c r="G1" s="361"/>
      <c r="H1" s="361"/>
      <c r="I1" s="361"/>
      <c r="J1" s="361"/>
      <c r="K1" s="361"/>
      <c r="L1" s="361"/>
      <c r="M1" s="361"/>
    </row>
    <row r="2" spans="1:16" ht="30" x14ac:dyDescent="0.25">
      <c r="A2" s="217" t="s">
        <v>5</v>
      </c>
      <c r="B2" s="217" t="s">
        <v>2</v>
      </c>
      <c r="C2" s="217" t="s">
        <v>3</v>
      </c>
      <c r="D2" s="217" t="s">
        <v>6</v>
      </c>
      <c r="E2" s="218" t="s">
        <v>11</v>
      </c>
      <c r="F2" s="218" t="s">
        <v>37</v>
      </c>
      <c r="G2" s="218" t="s">
        <v>41</v>
      </c>
      <c r="H2" s="218" t="s">
        <v>20</v>
      </c>
      <c r="I2" s="218"/>
      <c r="J2" s="217" t="s">
        <v>2</v>
      </c>
      <c r="K2" s="217" t="s">
        <v>3</v>
      </c>
      <c r="L2" s="218" t="s">
        <v>0</v>
      </c>
      <c r="M2" s="218" t="s">
        <v>42</v>
      </c>
      <c r="P2" s="12"/>
    </row>
    <row r="3" spans="1:16" ht="17.25" customHeight="1" x14ac:dyDescent="0.25">
      <c r="A3" s="362">
        <v>1</v>
      </c>
      <c r="B3" s="362">
        <f>Бланк!R3</f>
        <v>0</v>
      </c>
      <c r="C3" s="362">
        <f>Бланк!S3</f>
        <v>0</v>
      </c>
      <c r="D3" s="362">
        <f>Бланк!T3</f>
        <v>0</v>
      </c>
      <c r="E3" s="362">
        <f>Бланк!U3</f>
        <v>0</v>
      </c>
      <c r="F3" s="362">
        <f>Бланк!W3</f>
        <v>18</v>
      </c>
      <c r="G3" s="362">
        <f>Бланк!X3</f>
        <v>0</v>
      </c>
      <c r="H3" s="219">
        <f>F3</f>
        <v>18</v>
      </c>
      <c r="I3" s="220" t="s">
        <v>14</v>
      </c>
      <c r="J3" s="219">
        <f>Бланк!AA3</f>
        <v>0</v>
      </c>
      <c r="K3" s="219">
        <f>Бланк!AB3</f>
        <v>164</v>
      </c>
      <c r="L3" s="219">
        <f>Бланк!AC3</f>
        <v>0</v>
      </c>
      <c r="M3" s="219">
        <f>Бланк!AD3</f>
        <v>0</v>
      </c>
    </row>
    <row r="4" spans="1:16" ht="17.25" customHeight="1" x14ac:dyDescent="0.25">
      <c r="A4" s="363"/>
      <c r="B4" s="363"/>
      <c r="C4" s="363"/>
      <c r="D4" s="363"/>
      <c r="E4" s="363"/>
      <c r="F4" s="363"/>
      <c r="G4" s="363"/>
      <c r="H4" s="219">
        <f>F3</f>
        <v>18</v>
      </c>
      <c r="I4" s="220" t="s">
        <v>15</v>
      </c>
      <c r="J4" s="219">
        <f>Бланк!AA4</f>
        <v>0</v>
      </c>
      <c r="K4" s="219">
        <f>Бланк!AB4</f>
        <v>0</v>
      </c>
      <c r="L4" s="219">
        <f>Бланк!AC4</f>
        <v>0</v>
      </c>
      <c r="M4" s="219">
        <f>Бланк!AD4</f>
        <v>0</v>
      </c>
    </row>
    <row r="5" spans="1:16" ht="17.25" customHeight="1" x14ac:dyDescent="0.25">
      <c r="A5" s="364"/>
      <c r="B5" s="364"/>
      <c r="C5" s="364"/>
      <c r="D5" s="364"/>
      <c r="E5" s="364"/>
      <c r="F5" s="364"/>
      <c r="G5" s="364"/>
      <c r="H5" s="219">
        <f>G3</f>
        <v>0</v>
      </c>
      <c r="I5" s="220" t="s">
        <v>1</v>
      </c>
      <c r="J5" s="219">
        <f>Бланк!AA5</f>
        <v>0</v>
      </c>
      <c r="K5" s="219">
        <f>Бланк!AB5</f>
        <v>0</v>
      </c>
      <c r="L5" s="219">
        <f>Бланк!AC5</f>
        <v>0</v>
      </c>
      <c r="M5" s="219">
        <f>Бланк!AD5</f>
        <v>0</v>
      </c>
    </row>
    <row r="6" spans="1:16" ht="17.25" customHeight="1" x14ac:dyDescent="0.25">
      <c r="A6" s="362">
        <v>2</v>
      </c>
      <c r="B6" s="362">
        <f>Бланк!R6</f>
        <v>0</v>
      </c>
      <c r="C6" s="362">
        <f>Бланк!S6</f>
        <v>0</v>
      </c>
      <c r="D6" s="362">
        <f>Бланк!T6</f>
        <v>0</v>
      </c>
      <c r="E6" s="362">
        <f>Бланк!U6</f>
        <v>0</v>
      </c>
      <c r="F6" s="362">
        <f>Бланк!W6</f>
        <v>18</v>
      </c>
      <c r="G6" s="362">
        <f>Бланк!X6</f>
        <v>0</v>
      </c>
      <c r="H6" s="219">
        <f>F6</f>
        <v>18</v>
      </c>
      <c r="I6" s="220" t="s">
        <v>14</v>
      </c>
      <c r="J6" s="219">
        <f>Бланк!AA6</f>
        <v>0</v>
      </c>
      <c r="K6" s="219">
        <f>Бланк!AB6</f>
        <v>164</v>
      </c>
      <c r="L6" s="219">
        <f>Бланк!AC6</f>
        <v>0</v>
      </c>
      <c r="M6" s="219">
        <f>Бланк!AD6</f>
        <v>0</v>
      </c>
    </row>
    <row r="7" spans="1:16" ht="17.25" customHeight="1" x14ac:dyDescent="0.25">
      <c r="A7" s="363"/>
      <c r="B7" s="363"/>
      <c r="C7" s="363"/>
      <c r="D7" s="363"/>
      <c r="E7" s="363"/>
      <c r="F7" s="363"/>
      <c r="G7" s="363"/>
      <c r="H7" s="219">
        <f>F6</f>
        <v>18</v>
      </c>
      <c r="I7" s="220" t="s">
        <v>15</v>
      </c>
      <c r="J7" s="219">
        <f>Бланк!AA7</f>
        <v>0</v>
      </c>
      <c r="K7" s="219">
        <f>Бланк!AB7</f>
        <v>0</v>
      </c>
      <c r="L7" s="219">
        <f>Бланк!AC7</f>
        <v>0</v>
      </c>
      <c r="M7" s="219">
        <f>Бланк!AD7</f>
        <v>0</v>
      </c>
    </row>
    <row r="8" spans="1:16" ht="17.25" customHeight="1" x14ac:dyDescent="0.25">
      <c r="A8" s="364"/>
      <c r="B8" s="364"/>
      <c r="C8" s="364"/>
      <c r="D8" s="364"/>
      <c r="E8" s="364"/>
      <c r="F8" s="364"/>
      <c r="G8" s="364"/>
      <c r="H8" s="219">
        <f>G6</f>
        <v>0</v>
      </c>
      <c r="I8" s="220" t="s">
        <v>1</v>
      </c>
      <c r="J8" s="219">
        <f>Бланк!AA8</f>
        <v>0</v>
      </c>
      <c r="K8" s="219">
        <f>Бланк!AB8</f>
        <v>0</v>
      </c>
      <c r="L8" s="219">
        <f>Бланк!AC8</f>
        <v>0</v>
      </c>
      <c r="M8" s="219">
        <f>Бланк!AD8</f>
        <v>0</v>
      </c>
    </row>
    <row r="9" spans="1:16" ht="17.25" customHeight="1" x14ac:dyDescent="0.25">
      <c r="A9" s="362">
        <v>3</v>
      </c>
      <c r="B9" s="362">
        <f>Бланк!R9</f>
        <v>0</v>
      </c>
      <c r="C9" s="362">
        <f>Бланк!S9</f>
        <v>0</v>
      </c>
      <c r="D9" s="362">
        <f>Бланк!T9</f>
        <v>0</v>
      </c>
      <c r="E9" s="362">
        <f>Бланк!U9</f>
        <v>0</v>
      </c>
      <c r="F9" s="362">
        <f>Бланк!W9</f>
        <v>18</v>
      </c>
      <c r="G9" s="362">
        <f>Бланк!X9</f>
        <v>0</v>
      </c>
      <c r="H9" s="219">
        <f>F9</f>
        <v>18</v>
      </c>
      <c r="I9" s="220" t="s">
        <v>14</v>
      </c>
      <c r="J9" s="219">
        <f>Бланк!AA9</f>
        <v>0</v>
      </c>
      <c r="K9" s="219">
        <f>Бланк!AB9</f>
        <v>164</v>
      </c>
      <c r="L9" s="219">
        <f>Бланк!AC9</f>
        <v>0</v>
      </c>
      <c r="M9" s="219">
        <f>Бланк!AD9</f>
        <v>0</v>
      </c>
    </row>
    <row r="10" spans="1:16" ht="17.25" customHeight="1" x14ac:dyDescent="0.25">
      <c r="A10" s="363"/>
      <c r="B10" s="363"/>
      <c r="C10" s="363"/>
      <c r="D10" s="363"/>
      <c r="E10" s="363"/>
      <c r="F10" s="363"/>
      <c r="G10" s="363"/>
      <c r="H10" s="219">
        <f>F9</f>
        <v>18</v>
      </c>
      <c r="I10" s="220" t="s">
        <v>15</v>
      </c>
      <c r="J10" s="219">
        <f>Бланк!AA10</f>
        <v>0</v>
      </c>
      <c r="K10" s="219">
        <f>Бланк!AB10</f>
        <v>0</v>
      </c>
      <c r="L10" s="219">
        <f>Бланк!AC10</f>
        <v>0</v>
      </c>
      <c r="M10" s="219">
        <f>Бланк!AD10</f>
        <v>0</v>
      </c>
    </row>
    <row r="11" spans="1:16" ht="17.25" customHeight="1" x14ac:dyDescent="0.25">
      <c r="A11" s="364"/>
      <c r="B11" s="364"/>
      <c r="C11" s="364"/>
      <c r="D11" s="364"/>
      <c r="E11" s="364"/>
      <c r="F11" s="364"/>
      <c r="G11" s="364"/>
      <c r="H11" s="219">
        <f>G9</f>
        <v>0</v>
      </c>
      <c r="I11" s="220" t="s">
        <v>1</v>
      </c>
      <c r="J11" s="219">
        <f>Бланк!AA11</f>
        <v>0</v>
      </c>
      <c r="K11" s="219">
        <f>Бланк!AB11</f>
        <v>0</v>
      </c>
      <c r="L11" s="219">
        <f>Бланк!AC11</f>
        <v>0</v>
      </c>
      <c r="M11" s="219">
        <f>Бланк!AD11</f>
        <v>0</v>
      </c>
    </row>
    <row r="12" spans="1:16" ht="17.25" customHeight="1" x14ac:dyDescent="0.25">
      <c r="A12" s="362">
        <v>4</v>
      </c>
      <c r="B12" s="362">
        <f>Бланк!R12</f>
        <v>0</v>
      </c>
      <c r="C12" s="362">
        <f>Бланк!S12</f>
        <v>0</v>
      </c>
      <c r="D12" s="362">
        <f>Бланк!T12</f>
        <v>0</v>
      </c>
      <c r="E12" s="362">
        <f>Бланк!U12</f>
        <v>0</v>
      </c>
      <c r="F12" s="362">
        <f>Бланк!W12</f>
        <v>18</v>
      </c>
      <c r="G12" s="362">
        <f>Бланк!X12</f>
        <v>0</v>
      </c>
      <c r="H12" s="219">
        <f>F12</f>
        <v>18</v>
      </c>
      <c r="I12" s="220" t="s">
        <v>14</v>
      </c>
      <c r="J12" s="219">
        <f>Бланк!AA12</f>
        <v>0</v>
      </c>
      <c r="K12" s="219">
        <f>Бланк!AB12</f>
        <v>164</v>
      </c>
      <c r="L12" s="219">
        <f>Бланк!AC12</f>
        <v>0</v>
      </c>
      <c r="M12" s="219">
        <f>Бланк!AD12</f>
        <v>0</v>
      </c>
    </row>
    <row r="13" spans="1:16" ht="17.25" customHeight="1" x14ac:dyDescent="0.25">
      <c r="A13" s="363"/>
      <c r="B13" s="363"/>
      <c r="C13" s="363"/>
      <c r="D13" s="363"/>
      <c r="E13" s="363"/>
      <c r="F13" s="363"/>
      <c r="G13" s="363"/>
      <c r="H13" s="219">
        <f>F12</f>
        <v>18</v>
      </c>
      <c r="I13" s="220" t="s">
        <v>15</v>
      </c>
      <c r="J13" s="219">
        <f>Бланк!AA13</f>
        <v>0</v>
      </c>
      <c r="K13" s="219">
        <f>Бланк!AB13</f>
        <v>0</v>
      </c>
      <c r="L13" s="219">
        <f>Бланк!AC13</f>
        <v>0</v>
      </c>
      <c r="M13" s="219">
        <f>Бланк!AD13</f>
        <v>0</v>
      </c>
    </row>
    <row r="14" spans="1:16" ht="17.25" customHeight="1" x14ac:dyDescent="0.25">
      <c r="A14" s="364"/>
      <c r="B14" s="364"/>
      <c r="C14" s="364"/>
      <c r="D14" s="364"/>
      <c r="E14" s="364"/>
      <c r="F14" s="364"/>
      <c r="G14" s="364"/>
      <c r="H14" s="219">
        <f>G12</f>
        <v>0</v>
      </c>
      <c r="I14" s="220" t="s">
        <v>1</v>
      </c>
      <c r="J14" s="219">
        <f>Бланк!AA14</f>
        <v>0</v>
      </c>
      <c r="K14" s="219">
        <f>Бланк!AB14</f>
        <v>0</v>
      </c>
      <c r="L14" s="219">
        <f>Бланк!AC14</f>
        <v>0</v>
      </c>
      <c r="M14" s="219">
        <f>Бланк!AD14</f>
        <v>0</v>
      </c>
    </row>
    <row r="15" spans="1:16" ht="17.25" customHeight="1" x14ac:dyDescent="0.25">
      <c r="A15" s="362">
        <v>5</v>
      </c>
      <c r="B15" s="362">
        <f>Бланк!R15</f>
        <v>0</v>
      </c>
      <c r="C15" s="362">
        <f>Бланк!S15</f>
        <v>0</v>
      </c>
      <c r="D15" s="362">
        <f>Бланк!T15</f>
        <v>0</v>
      </c>
      <c r="E15" s="362">
        <f>Бланк!U15</f>
        <v>0</v>
      </c>
      <c r="F15" s="362">
        <f>Бланк!W15</f>
        <v>18</v>
      </c>
      <c r="G15" s="362">
        <f>Бланк!X15</f>
        <v>0</v>
      </c>
      <c r="H15" s="219">
        <f>F15</f>
        <v>18</v>
      </c>
      <c r="I15" s="220" t="s">
        <v>14</v>
      </c>
      <c r="J15" s="219">
        <f>Бланк!AA15</f>
        <v>0</v>
      </c>
      <c r="K15" s="219">
        <f>Бланк!AB15</f>
        <v>164</v>
      </c>
      <c r="L15" s="219">
        <f>Бланк!AC15</f>
        <v>0</v>
      </c>
      <c r="M15" s="219">
        <f>Бланк!AD15</f>
        <v>0</v>
      </c>
    </row>
    <row r="16" spans="1:16" ht="17.25" customHeight="1" x14ac:dyDescent="0.25">
      <c r="A16" s="363"/>
      <c r="B16" s="363"/>
      <c r="C16" s="363"/>
      <c r="D16" s="363"/>
      <c r="E16" s="363"/>
      <c r="F16" s="363"/>
      <c r="G16" s="363"/>
      <c r="H16" s="219">
        <f>F15</f>
        <v>18</v>
      </c>
      <c r="I16" s="220" t="s">
        <v>15</v>
      </c>
      <c r="J16" s="219">
        <f>Бланк!AA16</f>
        <v>0</v>
      </c>
      <c r="K16" s="219">
        <f>Бланк!AB16</f>
        <v>0</v>
      </c>
      <c r="L16" s="219">
        <f>Бланк!AC16</f>
        <v>0</v>
      </c>
      <c r="M16" s="219">
        <f>Бланк!AD16</f>
        <v>0</v>
      </c>
    </row>
    <row r="17" spans="1:13" ht="17.25" customHeight="1" x14ac:dyDescent="0.25">
      <c r="A17" s="364"/>
      <c r="B17" s="364"/>
      <c r="C17" s="364"/>
      <c r="D17" s="364"/>
      <c r="E17" s="364"/>
      <c r="F17" s="364"/>
      <c r="G17" s="364"/>
      <c r="H17" s="219">
        <f>G15</f>
        <v>0</v>
      </c>
      <c r="I17" s="220" t="s">
        <v>1</v>
      </c>
      <c r="J17" s="219">
        <f>Бланк!AA17</f>
        <v>0</v>
      </c>
      <c r="K17" s="219">
        <f>Бланк!AB17</f>
        <v>0</v>
      </c>
      <c r="L17" s="219">
        <f>Бланк!AC17</f>
        <v>0</v>
      </c>
      <c r="M17" s="219">
        <f>Бланк!AD17</f>
        <v>0</v>
      </c>
    </row>
    <row r="18" spans="1:13" ht="17.25" customHeight="1" x14ac:dyDescent="0.25">
      <c r="A18" s="362">
        <v>6</v>
      </c>
      <c r="B18" s="362">
        <f>Бланк!R18</f>
        <v>0</v>
      </c>
      <c r="C18" s="362">
        <f>Бланк!S18</f>
        <v>0</v>
      </c>
      <c r="D18" s="362">
        <f>Бланк!T18</f>
        <v>0</v>
      </c>
      <c r="E18" s="362">
        <f>Бланк!U18</f>
        <v>0</v>
      </c>
      <c r="F18" s="362">
        <f>Бланк!W18</f>
        <v>18</v>
      </c>
      <c r="G18" s="362">
        <f>Бланк!X18</f>
        <v>0</v>
      </c>
      <c r="H18" s="219">
        <f>F18</f>
        <v>18</v>
      </c>
      <c r="I18" s="220" t="s">
        <v>14</v>
      </c>
      <c r="J18" s="219">
        <f>Бланк!AA18</f>
        <v>0</v>
      </c>
      <c r="K18" s="219">
        <f>Бланк!AB18</f>
        <v>164</v>
      </c>
      <c r="L18" s="219">
        <f>Бланк!AC18</f>
        <v>0</v>
      </c>
      <c r="M18" s="219">
        <f>Бланк!AD18</f>
        <v>0</v>
      </c>
    </row>
    <row r="19" spans="1:13" ht="17.25" customHeight="1" x14ac:dyDescent="0.25">
      <c r="A19" s="363"/>
      <c r="B19" s="363"/>
      <c r="C19" s="363"/>
      <c r="D19" s="363"/>
      <c r="E19" s="363"/>
      <c r="F19" s="363"/>
      <c r="G19" s="363"/>
      <c r="H19" s="219">
        <f>F18</f>
        <v>18</v>
      </c>
      <c r="I19" s="220" t="s">
        <v>15</v>
      </c>
      <c r="J19" s="219">
        <f>Бланк!AA19</f>
        <v>0</v>
      </c>
      <c r="K19" s="219">
        <f>Бланк!AB19</f>
        <v>0</v>
      </c>
      <c r="L19" s="219">
        <f>Бланк!AC19</f>
        <v>0</v>
      </c>
      <c r="M19" s="219">
        <f>Бланк!AD19</f>
        <v>0</v>
      </c>
    </row>
    <row r="20" spans="1:13" ht="17.25" customHeight="1" x14ac:dyDescent="0.25">
      <c r="A20" s="364"/>
      <c r="B20" s="364"/>
      <c r="C20" s="364"/>
      <c r="D20" s="364"/>
      <c r="E20" s="364"/>
      <c r="F20" s="364"/>
      <c r="G20" s="364"/>
      <c r="H20" s="219">
        <f>G18</f>
        <v>0</v>
      </c>
      <c r="I20" s="220" t="s">
        <v>1</v>
      </c>
      <c r="J20" s="219">
        <f>Бланк!AA20</f>
        <v>0</v>
      </c>
      <c r="K20" s="219">
        <f>Бланк!AB20</f>
        <v>0</v>
      </c>
      <c r="L20" s="219">
        <f>Бланк!AC20</f>
        <v>0</v>
      </c>
      <c r="M20" s="219">
        <f>Бланк!AD20</f>
        <v>0</v>
      </c>
    </row>
    <row r="21" spans="1:13" ht="17.25" customHeight="1" x14ac:dyDescent="0.25">
      <c r="A21" s="362">
        <v>7</v>
      </c>
      <c r="B21" s="362">
        <f>Бланк!R21</f>
        <v>0</v>
      </c>
      <c r="C21" s="362">
        <f>Бланк!S21</f>
        <v>0</v>
      </c>
      <c r="D21" s="362">
        <f>Бланк!T21</f>
        <v>0</v>
      </c>
      <c r="E21" s="362">
        <f>Бланк!U21</f>
        <v>0</v>
      </c>
      <c r="F21" s="362">
        <f>Бланк!W21</f>
        <v>18</v>
      </c>
      <c r="G21" s="362">
        <f>Бланк!X21</f>
        <v>0</v>
      </c>
      <c r="H21" s="219">
        <f>F21</f>
        <v>18</v>
      </c>
      <c r="I21" s="220" t="s">
        <v>14</v>
      </c>
      <c r="J21" s="219">
        <f>Бланк!AA21</f>
        <v>0</v>
      </c>
      <c r="K21" s="219">
        <f>Бланк!AB21</f>
        <v>164</v>
      </c>
      <c r="L21" s="219">
        <f>Бланк!AC21</f>
        <v>0</v>
      </c>
      <c r="M21" s="219">
        <f>Бланк!AD21</f>
        <v>0</v>
      </c>
    </row>
    <row r="22" spans="1:13" ht="17.25" customHeight="1" x14ac:dyDescent="0.25">
      <c r="A22" s="363"/>
      <c r="B22" s="363"/>
      <c r="C22" s="363"/>
      <c r="D22" s="363"/>
      <c r="E22" s="363"/>
      <c r="F22" s="363"/>
      <c r="G22" s="363"/>
      <c r="H22" s="219">
        <f>F21</f>
        <v>18</v>
      </c>
      <c r="I22" s="220" t="s">
        <v>15</v>
      </c>
      <c r="J22" s="219">
        <f>Бланк!AA22</f>
        <v>0</v>
      </c>
      <c r="K22" s="219">
        <f>Бланк!AB22</f>
        <v>0</v>
      </c>
      <c r="L22" s="219">
        <f>Бланк!AC22</f>
        <v>0</v>
      </c>
      <c r="M22" s="219">
        <f>Бланк!AD22</f>
        <v>0</v>
      </c>
    </row>
    <row r="23" spans="1:13" ht="17.25" customHeight="1" x14ac:dyDescent="0.25">
      <c r="A23" s="364"/>
      <c r="B23" s="364"/>
      <c r="C23" s="364"/>
      <c r="D23" s="364"/>
      <c r="E23" s="364"/>
      <c r="F23" s="364"/>
      <c r="G23" s="364"/>
      <c r="H23" s="219">
        <f>G21</f>
        <v>0</v>
      </c>
      <c r="I23" s="220" t="s">
        <v>1</v>
      </c>
      <c r="J23" s="219">
        <f>Бланк!AA23</f>
        <v>0</v>
      </c>
      <c r="K23" s="219">
        <f>Бланк!AB23</f>
        <v>0</v>
      </c>
      <c r="L23" s="219">
        <f>Бланк!AC23</f>
        <v>0</v>
      </c>
      <c r="M23" s="219">
        <f>Бланк!AD23</f>
        <v>0</v>
      </c>
    </row>
    <row r="24" spans="1:13" ht="17.25" customHeight="1" x14ac:dyDescent="0.25">
      <c r="A24" s="362">
        <v>8</v>
      </c>
      <c r="B24" s="362">
        <f>Бланк!R24</f>
        <v>0</v>
      </c>
      <c r="C24" s="362">
        <f>Бланк!S24</f>
        <v>0</v>
      </c>
      <c r="D24" s="362">
        <f>Бланк!T24</f>
        <v>0</v>
      </c>
      <c r="E24" s="362">
        <f>Бланк!U24</f>
        <v>0</v>
      </c>
      <c r="F24" s="362">
        <f>Бланк!W24</f>
        <v>18</v>
      </c>
      <c r="G24" s="362">
        <f>Бланк!X24</f>
        <v>0</v>
      </c>
      <c r="H24" s="219">
        <f>F24</f>
        <v>18</v>
      </c>
      <c r="I24" s="220" t="s">
        <v>14</v>
      </c>
      <c r="J24" s="219">
        <f>Бланк!AA24</f>
        <v>0</v>
      </c>
      <c r="K24" s="219">
        <f>Бланк!AB24</f>
        <v>164</v>
      </c>
      <c r="L24" s="219">
        <f>Бланк!AC24</f>
        <v>0</v>
      </c>
      <c r="M24" s="219">
        <f>Бланк!AD24</f>
        <v>0</v>
      </c>
    </row>
    <row r="25" spans="1:13" ht="17.25" customHeight="1" x14ac:dyDescent="0.25">
      <c r="A25" s="363"/>
      <c r="B25" s="363"/>
      <c r="C25" s="363"/>
      <c r="D25" s="363"/>
      <c r="E25" s="363"/>
      <c r="F25" s="363"/>
      <c r="G25" s="363"/>
      <c r="H25" s="219">
        <f>F24</f>
        <v>18</v>
      </c>
      <c r="I25" s="220" t="s">
        <v>15</v>
      </c>
      <c r="J25" s="219">
        <f>Бланк!AA25</f>
        <v>0</v>
      </c>
      <c r="K25" s="219">
        <f>Бланк!AB25</f>
        <v>0</v>
      </c>
      <c r="L25" s="219">
        <f>Бланк!AC25</f>
        <v>0</v>
      </c>
      <c r="M25" s="219">
        <f>Бланк!AD25</f>
        <v>0</v>
      </c>
    </row>
    <row r="26" spans="1:13" ht="17.25" customHeight="1" x14ac:dyDescent="0.25">
      <c r="A26" s="364"/>
      <c r="B26" s="364"/>
      <c r="C26" s="364"/>
      <c r="D26" s="364"/>
      <c r="E26" s="364"/>
      <c r="F26" s="364"/>
      <c r="G26" s="364"/>
      <c r="H26" s="219">
        <f>G24</f>
        <v>0</v>
      </c>
      <c r="I26" s="220" t="s">
        <v>1</v>
      </c>
      <c r="J26" s="219">
        <f>Бланк!AA26</f>
        <v>0</v>
      </c>
      <c r="K26" s="219">
        <f>Бланк!AB26</f>
        <v>0</v>
      </c>
      <c r="L26" s="219">
        <f>Бланк!AC26</f>
        <v>0</v>
      </c>
      <c r="M26" s="219">
        <f>Бланк!AD26</f>
        <v>0</v>
      </c>
    </row>
    <row r="27" spans="1:13" ht="17.25" customHeight="1" x14ac:dyDescent="0.25">
      <c r="A27" s="362">
        <v>9</v>
      </c>
      <c r="B27" s="362">
        <f>Бланк!R27</f>
        <v>0</v>
      </c>
      <c r="C27" s="362">
        <f>Бланк!S27</f>
        <v>0</v>
      </c>
      <c r="D27" s="362">
        <f>Бланк!T27</f>
        <v>0</v>
      </c>
      <c r="E27" s="362">
        <f>Бланк!U27</f>
        <v>0</v>
      </c>
      <c r="F27" s="362">
        <f>Бланк!W27</f>
        <v>18</v>
      </c>
      <c r="G27" s="362">
        <f>Бланк!X27</f>
        <v>0</v>
      </c>
      <c r="H27" s="219">
        <f>F27</f>
        <v>18</v>
      </c>
      <c r="I27" s="220" t="s">
        <v>14</v>
      </c>
      <c r="J27" s="219">
        <f>Бланк!AA27</f>
        <v>0</v>
      </c>
      <c r="K27" s="219">
        <f>Бланк!AB27</f>
        <v>164</v>
      </c>
      <c r="L27" s="219">
        <f>Бланк!AC27</f>
        <v>0</v>
      </c>
      <c r="M27" s="219">
        <f>Бланк!AD27</f>
        <v>0</v>
      </c>
    </row>
    <row r="28" spans="1:13" ht="17.25" customHeight="1" x14ac:dyDescent="0.25">
      <c r="A28" s="363"/>
      <c r="B28" s="363"/>
      <c r="C28" s="363"/>
      <c r="D28" s="363"/>
      <c r="E28" s="363"/>
      <c r="F28" s="363"/>
      <c r="G28" s="363"/>
      <c r="H28" s="219">
        <f>F27</f>
        <v>18</v>
      </c>
      <c r="I28" s="220" t="s">
        <v>15</v>
      </c>
      <c r="J28" s="219">
        <f>Бланк!AA28</f>
        <v>0</v>
      </c>
      <c r="K28" s="219">
        <f>Бланк!AB28</f>
        <v>0</v>
      </c>
      <c r="L28" s="219">
        <f>Бланк!AC28</f>
        <v>0</v>
      </c>
      <c r="M28" s="219">
        <f>Бланк!AD28</f>
        <v>0</v>
      </c>
    </row>
    <row r="29" spans="1:13" ht="17.25" customHeight="1" x14ac:dyDescent="0.25">
      <c r="A29" s="364"/>
      <c r="B29" s="364"/>
      <c r="C29" s="364"/>
      <c r="D29" s="364"/>
      <c r="E29" s="364"/>
      <c r="F29" s="364"/>
      <c r="G29" s="364"/>
      <c r="H29" s="219">
        <f>G27</f>
        <v>0</v>
      </c>
      <c r="I29" s="220" t="s">
        <v>1</v>
      </c>
      <c r="J29" s="219">
        <f>Бланк!AA29</f>
        <v>0</v>
      </c>
      <c r="K29" s="219">
        <f>Бланк!AB29</f>
        <v>0</v>
      </c>
      <c r="L29" s="219">
        <f>Бланк!AC29</f>
        <v>0</v>
      </c>
      <c r="M29" s="219">
        <f>Бланк!AD29</f>
        <v>0</v>
      </c>
    </row>
    <row r="30" spans="1:13" ht="17.25" customHeight="1" x14ac:dyDescent="0.25">
      <c r="A30" s="362">
        <v>10</v>
      </c>
      <c r="B30" s="362">
        <f>Бланк!R30</f>
        <v>0</v>
      </c>
      <c r="C30" s="362">
        <f>Бланк!S30</f>
        <v>0</v>
      </c>
      <c r="D30" s="362">
        <f>Бланк!T30</f>
        <v>0</v>
      </c>
      <c r="E30" s="362">
        <f>Бланк!U30</f>
        <v>0</v>
      </c>
      <c r="F30" s="362">
        <f>Бланк!W30</f>
        <v>18</v>
      </c>
      <c r="G30" s="362">
        <f>Бланк!X30</f>
        <v>0</v>
      </c>
      <c r="H30" s="219">
        <f>F30</f>
        <v>18</v>
      </c>
      <c r="I30" s="220" t="s">
        <v>14</v>
      </c>
      <c r="J30" s="219">
        <f>Бланк!AA30</f>
        <v>0</v>
      </c>
      <c r="K30" s="219">
        <f>Бланк!AB30</f>
        <v>164</v>
      </c>
      <c r="L30" s="219">
        <f>Бланк!AC30</f>
        <v>0</v>
      </c>
      <c r="M30" s="219">
        <f>Бланк!AD30</f>
        <v>0</v>
      </c>
    </row>
    <row r="31" spans="1:13" ht="17.25" customHeight="1" x14ac:dyDescent="0.25">
      <c r="A31" s="363"/>
      <c r="B31" s="363"/>
      <c r="C31" s="363"/>
      <c r="D31" s="363"/>
      <c r="E31" s="363"/>
      <c r="F31" s="363"/>
      <c r="G31" s="363"/>
      <c r="H31" s="219">
        <f>F30</f>
        <v>18</v>
      </c>
      <c r="I31" s="220" t="s">
        <v>15</v>
      </c>
      <c r="J31" s="219">
        <f>Бланк!AA31</f>
        <v>0</v>
      </c>
      <c r="K31" s="219">
        <f>Бланк!AB31</f>
        <v>0</v>
      </c>
      <c r="L31" s="219">
        <f>Бланк!AC31</f>
        <v>0</v>
      </c>
      <c r="M31" s="219">
        <f>Бланк!AD31</f>
        <v>0</v>
      </c>
    </row>
    <row r="32" spans="1:13" ht="17.25" customHeight="1" x14ac:dyDescent="0.25">
      <c r="A32" s="364"/>
      <c r="B32" s="364"/>
      <c r="C32" s="364"/>
      <c r="D32" s="364"/>
      <c r="E32" s="364"/>
      <c r="F32" s="364"/>
      <c r="G32" s="364"/>
      <c r="H32" s="219">
        <f>G30</f>
        <v>0</v>
      </c>
      <c r="I32" s="220" t="s">
        <v>1</v>
      </c>
      <c r="J32" s="219">
        <f>Бланк!AA32</f>
        <v>0</v>
      </c>
      <c r="K32" s="219">
        <f>Бланк!AB32</f>
        <v>0</v>
      </c>
      <c r="L32" s="219">
        <f>Бланк!AC32</f>
        <v>0</v>
      </c>
      <c r="M32" s="219">
        <f>Бланк!AD32</f>
        <v>0</v>
      </c>
    </row>
    <row r="33" spans="1:13" ht="17.25" customHeight="1" x14ac:dyDescent="0.25">
      <c r="A33" s="362">
        <v>11</v>
      </c>
      <c r="B33" s="362">
        <f>Бланк!R33</f>
        <v>0</v>
      </c>
      <c r="C33" s="362">
        <f>Бланк!S33</f>
        <v>0</v>
      </c>
      <c r="D33" s="362">
        <f>Бланк!T33</f>
        <v>0</v>
      </c>
      <c r="E33" s="362">
        <f>Бланк!U33</f>
        <v>0</v>
      </c>
      <c r="F33" s="362">
        <f>Бланк!W33</f>
        <v>18</v>
      </c>
      <c r="G33" s="362">
        <f>Бланк!X33</f>
        <v>0</v>
      </c>
      <c r="H33" s="219">
        <f>F33</f>
        <v>18</v>
      </c>
      <c r="I33" s="220" t="s">
        <v>14</v>
      </c>
      <c r="J33" s="219">
        <f>Бланк!AA33</f>
        <v>0</v>
      </c>
      <c r="K33" s="219">
        <f>Бланк!AB33</f>
        <v>164</v>
      </c>
      <c r="L33" s="219">
        <f>Бланк!AC33</f>
        <v>0</v>
      </c>
      <c r="M33" s="219">
        <f>Бланк!AD33</f>
        <v>0</v>
      </c>
    </row>
    <row r="34" spans="1:13" ht="17.25" customHeight="1" x14ac:dyDescent="0.25">
      <c r="A34" s="363"/>
      <c r="B34" s="363"/>
      <c r="C34" s="363"/>
      <c r="D34" s="363"/>
      <c r="E34" s="363"/>
      <c r="F34" s="363"/>
      <c r="G34" s="363"/>
      <c r="H34" s="219">
        <f>F33</f>
        <v>18</v>
      </c>
      <c r="I34" s="220" t="s">
        <v>15</v>
      </c>
      <c r="J34" s="219">
        <f>Бланк!AA34</f>
        <v>0</v>
      </c>
      <c r="K34" s="219">
        <f>Бланк!AB34</f>
        <v>0</v>
      </c>
      <c r="L34" s="219">
        <f>Бланк!AC34</f>
        <v>0</v>
      </c>
      <c r="M34" s="219">
        <f>Бланк!AD34</f>
        <v>0</v>
      </c>
    </row>
    <row r="35" spans="1:13" ht="17.25" customHeight="1" x14ac:dyDescent="0.25">
      <c r="A35" s="364"/>
      <c r="B35" s="364"/>
      <c r="C35" s="364"/>
      <c r="D35" s="364"/>
      <c r="E35" s="364"/>
      <c r="F35" s="364"/>
      <c r="G35" s="364"/>
      <c r="H35" s="219">
        <f>G33</f>
        <v>0</v>
      </c>
      <c r="I35" s="220" t="s">
        <v>1</v>
      </c>
      <c r="J35" s="219">
        <f>Бланк!AA35</f>
        <v>0</v>
      </c>
      <c r="K35" s="219">
        <f>Бланк!AB35</f>
        <v>0</v>
      </c>
      <c r="L35" s="219">
        <f>Бланк!AC35</f>
        <v>0</v>
      </c>
      <c r="M35" s="219">
        <f>Бланк!AD35</f>
        <v>0</v>
      </c>
    </row>
    <row r="36" spans="1:13" ht="17.25" customHeight="1" x14ac:dyDescent="0.25">
      <c r="A36" s="362">
        <v>12</v>
      </c>
      <c r="B36" s="362">
        <f>Бланк!R36</f>
        <v>0</v>
      </c>
      <c r="C36" s="362">
        <f>Бланк!S36</f>
        <v>0</v>
      </c>
      <c r="D36" s="362">
        <f>Бланк!T36</f>
        <v>0</v>
      </c>
      <c r="E36" s="362">
        <f>Бланк!U36</f>
        <v>0</v>
      </c>
      <c r="F36" s="362">
        <f>Бланк!W36</f>
        <v>18</v>
      </c>
      <c r="G36" s="362">
        <f>Бланк!X36</f>
        <v>0</v>
      </c>
      <c r="H36" s="219">
        <f>F36</f>
        <v>18</v>
      </c>
      <c r="I36" s="220" t="s">
        <v>14</v>
      </c>
      <c r="J36" s="219">
        <f>Бланк!AA36</f>
        <v>0</v>
      </c>
      <c r="K36" s="219">
        <f>Бланк!AB36</f>
        <v>164</v>
      </c>
      <c r="L36" s="219">
        <f>Бланк!AC36</f>
        <v>0</v>
      </c>
      <c r="M36" s="219">
        <f>Бланк!AD36</f>
        <v>0</v>
      </c>
    </row>
    <row r="37" spans="1:13" ht="17.25" customHeight="1" x14ac:dyDescent="0.25">
      <c r="A37" s="363"/>
      <c r="B37" s="363"/>
      <c r="C37" s="363"/>
      <c r="D37" s="363"/>
      <c r="E37" s="363"/>
      <c r="F37" s="363"/>
      <c r="G37" s="363"/>
      <c r="H37" s="219">
        <f>F36</f>
        <v>18</v>
      </c>
      <c r="I37" s="220" t="s">
        <v>15</v>
      </c>
      <c r="J37" s="219">
        <f>Бланк!AA37</f>
        <v>0</v>
      </c>
      <c r="K37" s="219">
        <f>Бланк!AB37</f>
        <v>0</v>
      </c>
      <c r="L37" s="219">
        <f>Бланк!AC37</f>
        <v>0</v>
      </c>
      <c r="M37" s="219">
        <f>Бланк!AD37</f>
        <v>0</v>
      </c>
    </row>
    <row r="38" spans="1:13" ht="17.25" customHeight="1" x14ac:dyDescent="0.25">
      <c r="A38" s="364"/>
      <c r="B38" s="364"/>
      <c r="C38" s="364"/>
      <c r="D38" s="364"/>
      <c r="E38" s="364"/>
      <c r="F38" s="364"/>
      <c r="G38" s="364"/>
      <c r="H38" s="219">
        <f>G36</f>
        <v>0</v>
      </c>
      <c r="I38" s="220" t="s">
        <v>1</v>
      </c>
      <c r="J38" s="219">
        <f>Бланк!AA38</f>
        <v>0</v>
      </c>
      <c r="K38" s="219">
        <f>Бланк!AB38</f>
        <v>0</v>
      </c>
      <c r="L38" s="219">
        <f>Бланк!AC38</f>
        <v>0</v>
      </c>
      <c r="M38" s="219">
        <f>Бланк!AD38</f>
        <v>0</v>
      </c>
    </row>
    <row r="39" spans="1:13" ht="17.25" customHeight="1" x14ac:dyDescent="0.25">
      <c r="A39" s="362">
        <v>13</v>
      </c>
      <c r="B39" s="362">
        <f>Бланк!R39</f>
        <v>0</v>
      </c>
      <c r="C39" s="362">
        <f>Бланк!S39</f>
        <v>0</v>
      </c>
      <c r="D39" s="362">
        <f>Бланк!T39</f>
        <v>0</v>
      </c>
      <c r="E39" s="362">
        <f>Бланк!U39</f>
        <v>0</v>
      </c>
      <c r="F39" s="362">
        <f>Бланк!W39</f>
        <v>18</v>
      </c>
      <c r="G39" s="362">
        <f>Бланк!X39</f>
        <v>0</v>
      </c>
      <c r="H39" s="219">
        <f>F39</f>
        <v>18</v>
      </c>
      <c r="I39" s="220" t="s">
        <v>14</v>
      </c>
      <c r="J39" s="219">
        <f>Бланк!AA39</f>
        <v>0</v>
      </c>
      <c r="K39" s="219">
        <f>Бланк!AB39</f>
        <v>164</v>
      </c>
      <c r="L39" s="219">
        <f>Бланк!AC39</f>
        <v>0</v>
      </c>
      <c r="M39" s="219">
        <f>Бланк!AD39</f>
        <v>0</v>
      </c>
    </row>
    <row r="40" spans="1:13" ht="17.25" customHeight="1" x14ac:dyDescent="0.25">
      <c r="A40" s="363"/>
      <c r="B40" s="363"/>
      <c r="C40" s="363"/>
      <c r="D40" s="363"/>
      <c r="E40" s="363"/>
      <c r="F40" s="363"/>
      <c r="G40" s="363"/>
      <c r="H40" s="219">
        <f>F39</f>
        <v>18</v>
      </c>
      <c r="I40" s="220" t="s">
        <v>15</v>
      </c>
      <c r="J40" s="219">
        <f>Бланк!AA40</f>
        <v>0</v>
      </c>
      <c r="K40" s="219">
        <f>Бланк!AB40</f>
        <v>0</v>
      </c>
      <c r="L40" s="219">
        <f>Бланк!AC40</f>
        <v>0</v>
      </c>
      <c r="M40" s="219">
        <f>Бланк!AD40</f>
        <v>0</v>
      </c>
    </row>
    <row r="41" spans="1:13" ht="17.25" customHeight="1" x14ac:dyDescent="0.25">
      <c r="A41" s="364"/>
      <c r="B41" s="364"/>
      <c r="C41" s="364"/>
      <c r="D41" s="364"/>
      <c r="E41" s="364"/>
      <c r="F41" s="364"/>
      <c r="G41" s="364"/>
      <c r="H41" s="219">
        <f>G39</f>
        <v>0</v>
      </c>
      <c r="I41" s="220" t="s">
        <v>1</v>
      </c>
      <c r="J41" s="219">
        <f>Бланк!AA41</f>
        <v>0</v>
      </c>
      <c r="K41" s="219">
        <f>Бланк!AB41</f>
        <v>0</v>
      </c>
      <c r="L41" s="219">
        <f>Бланк!AC41</f>
        <v>0</v>
      </c>
      <c r="M41" s="219">
        <f>Бланк!AD41</f>
        <v>0</v>
      </c>
    </row>
    <row r="42" spans="1:13" ht="17.25" customHeight="1" x14ac:dyDescent="0.25">
      <c r="A42" s="362">
        <v>14</v>
      </c>
      <c r="B42" s="362">
        <f>Бланк!R42</f>
        <v>0</v>
      </c>
      <c r="C42" s="362">
        <f>Бланк!S42</f>
        <v>0</v>
      </c>
      <c r="D42" s="362">
        <f>Бланк!T42</f>
        <v>0</v>
      </c>
      <c r="E42" s="362">
        <f>Бланк!U42</f>
        <v>0</v>
      </c>
      <c r="F42" s="362">
        <f>Бланк!W42</f>
        <v>18</v>
      </c>
      <c r="G42" s="362">
        <f>Бланк!X42</f>
        <v>0</v>
      </c>
      <c r="H42" s="219">
        <f>F42</f>
        <v>18</v>
      </c>
      <c r="I42" s="220" t="s">
        <v>14</v>
      </c>
      <c r="J42" s="219">
        <f>Бланк!AA42</f>
        <v>0</v>
      </c>
      <c r="K42" s="219">
        <f>Бланк!AB42</f>
        <v>164</v>
      </c>
      <c r="L42" s="219">
        <f>Бланк!AC42</f>
        <v>0</v>
      </c>
      <c r="M42" s="219">
        <f>Бланк!AD42</f>
        <v>0</v>
      </c>
    </row>
    <row r="43" spans="1:13" ht="17.25" customHeight="1" x14ac:dyDescent="0.25">
      <c r="A43" s="363"/>
      <c r="B43" s="363"/>
      <c r="C43" s="363"/>
      <c r="D43" s="363"/>
      <c r="E43" s="363"/>
      <c r="F43" s="363"/>
      <c r="G43" s="363"/>
      <c r="H43" s="219">
        <f>F42</f>
        <v>18</v>
      </c>
      <c r="I43" s="220" t="s">
        <v>15</v>
      </c>
      <c r="J43" s="219">
        <f>Бланк!AA43</f>
        <v>0</v>
      </c>
      <c r="K43" s="219">
        <f>Бланк!AB43</f>
        <v>0</v>
      </c>
      <c r="L43" s="219">
        <f>Бланк!AC43</f>
        <v>0</v>
      </c>
      <c r="M43" s="219">
        <f>Бланк!AD43</f>
        <v>0</v>
      </c>
    </row>
    <row r="44" spans="1:13" ht="17.25" customHeight="1" x14ac:dyDescent="0.25">
      <c r="A44" s="364"/>
      <c r="B44" s="364"/>
      <c r="C44" s="364"/>
      <c r="D44" s="364"/>
      <c r="E44" s="364"/>
      <c r="F44" s="364"/>
      <c r="G44" s="364"/>
      <c r="H44" s="219">
        <f>G42</f>
        <v>0</v>
      </c>
      <c r="I44" s="220" t="s">
        <v>1</v>
      </c>
      <c r="J44" s="219">
        <f>Бланк!AA44</f>
        <v>0</v>
      </c>
      <c r="K44" s="219">
        <f>Бланк!AB44</f>
        <v>0</v>
      </c>
      <c r="L44" s="219">
        <f>Бланк!AC44</f>
        <v>0</v>
      </c>
      <c r="M44" s="219">
        <f>Бланк!AD44</f>
        <v>0</v>
      </c>
    </row>
    <row r="45" spans="1:13" ht="17.25" customHeight="1" x14ac:dyDescent="0.25">
      <c r="A45" s="362">
        <v>15</v>
      </c>
      <c r="B45" s="362">
        <f>Бланк!R45</f>
        <v>0</v>
      </c>
      <c r="C45" s="362">
        <f>Бланк!S45</f>
        <v>0</v>
      </c>
      <c r="D45" s="362">
        <f>Бланк!T45</f>
        <v>0</v>
      </c>
      <c r="E45" s="362">
        <f>Бланк!U45</f>
        <v>0</v>
      </c>
      <c r="F45" s="362">
        <f>Бланк!W45</f>
        <v>18</v>
      </c>
      <c r="G45" s="362">
        <f>Бланк!X45</f>
        <v>0</v>
      </c>
      <c r="H45" s="219">
        <f>F45</f>
        <v>18</v>
      </c>
      <c r="I45" s="220" t="s">
        <v>14</v>
      </c>
      <c r="J45" s="219">
        <f>Бланк!AA45</f>
        <v>0</v>
      </c>
      <c r="K45" s="219">
        <f>Бланк!AB45</f>
        <v>164</v>
      </c>
      <c r="L45" s="219">
        <f>Бланк!AC45</f>
        <v>0</v>
      </c>
      <c r="M45" s="219">
        <f>Бланк!AD45</f>
        <v>0</v>
      </c>
    </row>
    <row r="46" spans="1:13" ht="17.25" customHeight="1" x14ac:dyDescent="0.25">
      <c r="A46" s="363"/>
      <c r="B46" s="363"/>
      <c r="C46" s="363"/>
      <c r="D46" s="363"/>
      <c r="E46" s="363"/>
      <c r="F46" s="363"/>
      <c r="G46" s="363"/>
      <c r="H46" s="219">
        <f>F45</f>
        <v>18</v>
      </c>
      <c r="I46" s="220" t="s">
        <v>15</v>
      </c>
      <c r="J46" s="219">
        <f>Бланк!AA46</f>
        <v>0</v>
      </c>
      <c r="K46" s="219">
        <f>Бланк!AB46</f>
        <v>0</v>
      </c>
      <c r="L46" s="219">
        <f>Бланк!AC46</f>
        <v>0</v>
      </c>
      <c r="M46" s="219">
        <f>Бланк!AD46</f>
        <v>0</v>
      </c>
    </row>
    <row r="47" spans="1:13" ht="17.25" customHeight="1" x14ac:dyDescent="0.25">
      <c r="A47" s="364"/>
      <c r="B47" s="364"/>
      <c r="C47" s="364"/>
      <c r="D47" s="364"/>
      <c r="E47" s="364"/>
      <c r="F47" s="364"/>
      <c r="G47" s="364"/>
      <c r="H47" s="219">
        <f>G45</f>
        <v>0</v>
      </c>
      <c r="I47" s="220" t="s">
        <v>1</v>
      </c>
      <c r="J47" s="219">
        <f>Бланк!AA47</f>
        <v>0</v>
      </c>
      <c r="K47" s="219">
        <f>Бланк!AB47</f>
        <v>0</v>
      </c>
      <c r="L47" s="219">
        <f>Бланк!AC47</f>
        <v>0</v>
      </c>
      <c r="M47" s="219">
        <f>Бланк!AD47</f>
        <v>0</v>
      </c>
    </row>
    <row r="48" spans="1:13" ht="17.25" customHeight="1" x14ac:dyDescent="0.25">
      <c r="A48" s="362">
        <v>16</v>
      </c>
      <c r="B48" s="362">
        <f>Бланк!R48</f>
        <v>0</v>
      </c>
      <c r="C48" s="362">
        <f>Бланк!S48</f>
        <v>0</v>
      </c>
      <c r="D48" s="362">
        <f>Бланк!T48</f>
        <v>0</v>
      </c>
      <c r="E48" s="362">
        <f>Бланк!U48</f>
        <v>0</v>
      </c>
      <c r="F48" s="362">
        <f>Бланк!W48</f>
        <v>18</v>
      </c>
      <c r="G48" s="362">
        <f>Бланк!X48</f>
        <v>0</v>
      </c>
      <c r="H48" s="219">
        <f>F48</f>
        <v>18</v>
      </c>
      <c r="I48" s="220" t="s">
        <v>14</v>
      </c>
      <c r="J48" s="219">
        <f>Бланк!AA48</f>
        <v>0</v>
      </c>
      <c r="K48" s="219">
        <f>Бланк!AB48</f>
        <v>164</v>
      </c>
      <c r="L48" s="219">
        <f>Бланк!AC48</f>
        <v>0</v>
      </c>
      <c r="M48" s="219">
        <f>Бланк!AD48</f>
        <v>0</v>
      </c>
    </row>
    <row r="49" spans="1:13" ht="17.25" customHeight="1" x14ac:dyDescent="0.25">
      <c r="A49" s="363"/>
      <c r="B49" s="363"/>
      <c r="C49" s="363"/>
      <c r="D49" s="363"/>
      <c r="E49" s="363"/>
      <c r="F49" s="363"/>
      <c r="G49" s="363"/>
      <c r="H49" s="219">
        <f>F48</f>
        <v>18</v>
      </c>
      <c r="I49" s="220" t="s">
        <v>15</v>
      </c>
      <c r="J49" s="219">
        <f>Бланк!AA49</f>
        <v>0</v>
      </c>
      <c r="K49" s="219">
        <f>Бланк!AB49</f>
        <v>0</v>
      </c>
      <c r="L49" s="219">
        <f>Бланк!AC49</f>
        <v>0</v>
      </c>
      <c r="M49" s="219">
        <f>Бланк!AD49</f>
        <v>0</v>
      </c>
    </row>
    <row r="50" spans="1:13" ht="17.25" customHeight="1" x14ac:dyDescent="0.25">
      <c r="A50" s="364"/>
      <c r="B50" s="364"/>
      <c r="C50" s="364"/>
      <c r="D50" s="364"/>
      <c r="E50" s="364"/>
      <c r="F50" s="364"/>
      <c r="G50" s="364"/>
      <c r="H50" s="219">
        <f>G48</f>
        <v>0</v>
      </c>
      <c r="I50" s="220" t="s">
        <v>1</v>
      </c>
      <c r="J50" s="219">
        <f>Бланк!AA50</f>
        <v>0</v>
      </c>
      <c r="K50" s="219">
        <f>Бланк!AB50</f>
        <v>0</v>
      </c>
      <c r="L50" s="219">
        <f>Бланк!AC50</f>
        <v>0</v>
      </c>
      <c r="M50" s="219">
        <f>Бланк!AD50</f>
        <v>0</v>
      </c>
    </row>
    <row r="51" spans="1:13" ht="17.25" customHeight="1" x14ac:dyDescent="0.25">
      <c r="A51" s="362">
        <v>17</v>
      </c>
      <c r="B51" s="362">
        <f>Бланк!R51</f>
        <v>0</v>
      </c>
      <c r="C51" s="362">
        <f>Бланк!S51</f>
        <v>0</v>
      </c>
      <c r="D51" s="362">
        <f>Бланк!T51</f>
        <v>0</v>
      </c>
      <c r="E51" s="362">
        <f>Бланк!U51</f>
        <v>0</v>
      </c>
      <c r="F51" s="362">
        <f>Бланк!W51</f>
        <v>18</v>
      </c>
      <c r="G51" s="362">
        <f>Бланк!X51</f>
        <v>0</v>
      </c>
      <c r="H51" s="219">
        <f>F51</f>
        <v>18</v>
      </c>
      <c r="I51" s="220" t="s">
        <v>14</v>
      </c>
      <c r="J51" s="219">
        <f>Бланк!AA51</f>
        <v>0</v>
      </c>
      <c r="K51" s="219">
        <f>Бланк!AB51</f>
        <v>164</v>
      </c>
      <c r="L51" s="219">
        <f>Бланк!AC51</f>
        <v>0</v>
      </c>
      <c r="M51" s="219">
        <f>Бланк!AD51</f>
        <v>0</v>
      </c>
    </row>
    <row r="52" spans="1:13" ht="17.25" customHeight="1" x14ac:dyDescent="0.25">
      <c r="A52" s="363"/>
      <c r="B52" s="363"/>
      <c r="C52" s="363"/>
      <c r="D52" s="363"/>
      <c r="E52" s="363"/>
      <c r="F52" s="363"/>
      <c r="G52" s="363"/>
      <c r="H52" s="219">
        <f>F51</f>
        <v>18</v>
      </c>
      <c r="I52" s="220" t="s">
        <v>15</v>
      </c>
      <c r="J52" s="219">
        <f>Бланк!AA52</f>
        <v>0</v>
      </c>
      <c r="K52" s="219">
        <f>Бланк!AB52</f>
        <v>0</v>
      </c>
      <c r="L52" s="219">
        <f>Бланк!AC52</f>
        <v>0</v>
      </c>
      <c r="M52" s="219">
        <f>Бланк!AD52</f>
        <v>0</v>
      </c>
    </row>
    <row r="53" spans="1:13" ht="17.25" customHeight="1" x14ac:dyDescent="0.25">
      <c r="A53" s="364"/>
      <c r="B53" s="364"/>
      <c r="C53" s="364"/>
      <c r="D53" s="364"/>
      <c r="E53" s="364"/>
      <c r="F53" s="364"/>
      <c r="G53" s="364"/>
      <c r="H53" s="219">
        <f>G51</f>
        <v>0</v>
      </c>
      <c r="I53" s="220" t="s">
        <v>1</v>
      </c>
      <c r="J53" s="219">
        <f>Бланк!AA53</f>
        <v>0</v>
      </c>
      <c r="K53" s="219">
        <f>Бланк!AB53</f>
        <v>0</v>
      </c>
      <c r="L53" s="219">
        <f>Бланк!AC53</f>
        <v>0</v>
      </c>
      <c r="M53" s="219">
        <f>Бланк!AD53</f>
        <v>0</v>
      </c>
    </row>
    <row r="54" spans="1:13" ht="30" x14ac:dyDescent="0.25">
      <c r="A54" s="362">
        <v>18</v>
      </c>
      <c r="B54" s="362">
        <f>Бланк!R54</f>
        <v>0</v>
      </c>
      <c r="C54" s="362">
        <f>Бланк!S54</f>
        <v>0</v>
      </c>
      <c r="D54" s="362">
        <f>Бланк!T54</f>
        <v>0</v>
      </c>
      <c r="E54" s="362">
        <f>Бланк!U54</f>
        <v>0</v>
      </c>
      <c r="F54" s="362">
        <f>Бланк!W54</f>
        <v>18</v>
      </c>
      <c r="G54" s="362">
        <f>Бланк!X54</f>
        <v>0</v>
      </c>
      <c r="H54" s="219">
        <f>F54</f>
        <v>18</v>
      </c>
      <c r="I54" s="220" t="s">
        <v>14</v>
      </c>
      <c r="J54" s="219">
        <f>Бланк!AA54</f>
        <v>0</v>
      </c>
      <c r="K54" s="219">
        <f>Бланк!AB54</f>
        <v>164</v>
      </c>
      <c r="L54" s="219">
        <f>Бланк!AC54</f>
        <v>0</v>
      </c>
      <c r="M54" s="219">
        <f>Бланк!AD54</f>
        <v>0</v>
      </c>
    </row>
    <row r="55" spans="1:13" ht="30" x14ac:dyDescent="0.25">
      <c r="A55" s="363"/>
      <c r="B55" s="363"/>
      <c r="C55" s="363"/>
      <c r="D55" s="363"/>
      <c r="E55" s="363"/>
      <c r="F55" s="363"/>
      <c r="G55" s="363"/>
      <c r="H55" s="219">
        <f>F54</f>
        <v>18</v>
      </c>
      <c r="I55" s="220" t="s">
        <v>15</v>
      </c>
      <c r="J55" s="219">
        <f>Бланк!AA55</f>
        <v>0</v>
      </c>
      <c r="K55" s="219">
        <f>Бланк!AB55</f>
        <v>0</v>
      </c>
      <c r="L55" s="219">
        <f>Бланк!AC55</f>
        <v>0</v>
      </c>
      <c r="M55" s="219">
        <f>Бланк!AD55</f>
        <v>0</v>
      </c>
    </row>
    <row r="56" spans="1:13" x14ac:dyDescent="0.25">
      <c r="A56" s="364"/>
      <c r="B56" s="364"/>
      <c r="C56" s="364"/>
      <c r="D56" s="364"/>
      <c r="E56" s="364"/>
      <c r="F56" s="364"/>
      <c r="G56" s="364"/>
      <c r="H56" s="219">
        <f>G54</f>
        <v>0</v>
      </c>
      <c r="I56" s="220" t="s">
        <v>1</v>
      </c>
      <c r="J56" s="219">
        <f>Бланк!AA56</f>
        <v>0</v>
      </c>
      <c r="K56" s="219">
        <f>Бланк!AB56</f>
        <v>0</v>
      </c>
      <c r="L56" s="219">
        <f>Бланк!AC56</f>
        <v>0</v>
      </c>
      <c r="M56" s="219">
        <f>Бланк!AD56</f>
        <v>0</v>
      </c>
    </row>
    <row r="57" spans="1:13" ht="30" x14ac:dyDescent="0.25">
      <c r="A57" s="362">
        <v>19</v>
      </c>
      <c r="B57" s="362">
        <f>Бланк!R57</f>
        <v>0</v>
      </c>
      <c r="C57" s="362">
        <f>Бланк!S57</f>
        <v>0</v>
      </c>
      <c r="D57" s="362">
        <f>Бланк!T57</f>
        <v>0</v>
      </c>
      <c r="E57" s="362">
        <f>Бланк!U57</f>
        <v>0</v>
      </c>
      <c r="F57" s="362">
        <f>Бланк!W57</f>
        <v>18</v>
      </c>
      <c r="G57" s="362">
        <f>Бланк!X57</f>
        <v>0</v>
      </c>
      <c r="H57" s="219">
        <f>F57</f>
        <v>18</v>
      </c>
      <c r="I57" s="220" t="s">
        <v>14</v>
      </c>
      <c r="J57" s="219">
        <f>Бланк!AA57</f>
        <v>0</v>
      </c>
      <c r="K57" s="219">
        <f>Бланк!AB57</f>
        <v>164</v>
      </c>
      <c r="L57" s="219">
        <f>Бланк!AC57</f>
        <v>0</v>
      </c>
      <c r="M57" s="219">
        <f>Бланк!AD57</f>
        <v>0</v>
      </c>
    </row>
    <row r="58" spans="1:13" ht="30" x14ac:dyDescent="0.25">
      <c r="A58" s="363"/>
      <c r="B58" s="363"/>
      <c r="C58" s="363"/>
      <c r="D58" s="363"/>
      <c r="E58" s="363"/>
      <c r="F58" s="363"/>
      <c r="G58" s="363"/>
      <c r="H58" s="219">
        <f>F57</f>
        <v>18</v>
      </c>
      <c r="I58" s="220" t="s">
        <v>15</v>
      </c>
      <c r="J58" s="219">
        <f>Бланк!AA58</f>
        <v>0</v>
      </c>
      <c r="K58" s="219">
        <f>Бланк!AB58</f>
        <v>0</v>
      </c>
      <c r="L58" s="219">
        <f>Бланк!AC58</f>
        <v>0</v>
      </c>
      <c r="M58" s="219">
        <f>Бланк!AD58</f>
        <v>0</v>
      </c>
    </row>
    <row r="59" spans="1:13" x14ac:dyDescent="0.25">
      <c r="A59" s="364"/>
      <c r="B59" s="364"/>
      <c r="C59" s="364"/>
      <c r="D59" s="364"/>
      <c r="E59" s="364"/>
      <c r="F59" s="364"/>
      <c r="G59" s="364"/>
      <c r="H59" s="219">
        <f>G57</f>
        <v>0</v>
      </c>
      <c r="I59" s="220" t="s">
        <v>1</v>
      </c>
      <c r="J59" s="219">
        <f>Бланк!AA59</f>
        <v>0</v>
      </c>
      <c r="K59" s="219">
        <f>Бланк!AB59</f>
        <v>0</v>
      </c>
      <c r="L59" s="219">
        <f>Бланк!AC59</f>
        <v>0</v>
      </c>
      <c r="M59" s="219">
        <f>Бланк!AD59</f>
        <v>0</v>
      </c>
    </row>
    <row r="60" spans="1:13" ht="30" x14ac:dyDescent="0.25">
      <c r="A60" s="362">
        <v>20</v>
      </c>
      <c r="B60" s="362">
        <f>Бланк!R60</f>
        <v>0</v>
      </c>
      <c r="C60" s="362">
        <f>Бланк!S60</f>
        <v>0</v>
      </c>
      <c r="D60" s="362">
        <f>Бланк!T60</f>
        <v>0</v>
      </c>
      <c r="E60" s="362">
        <f>Бланк!U60</f>
        <v>0</v>
      </c>
      <c r="F60" s="362">
        <f>Бланк!W60</f>
        <v>18</v>
      </c>
      <c r="G60" s="362">
        <f>Бланк!X60</f>
        <v>0</v>
      </c>
      <c r="H60" s="219">
        <f>F60</f>
        <v>18</v>
      </c>
      <c r="I60" s="220" t="s">
        <v>14</v>
      </c>
      <c r="J60" s="219">
        <f>Бланк!AA60</f>
        <v>0</v>
      </c>
      <c r="K60" s="219">
        <f>Бланк!AB60</f>
        <v>164</v>
      </c>
      <c r="L60" s="219">
        <f>Бланк!AC60</f>
        <v>0</v>
      </c>
      <c r="M60" s="219">
        <f>Бланк!AD60</f>
        <v>0</v>
      </c>
    </row>
    <row r="61" spans="1:13" ht="30" x14ac:dyDescent="0.25">
      <c r="A61" s="363"/>
      <c r="B61" s="363"/>
      <c r="C61" s="363"/>
      <c r="D61" s="363"/>
      <c r="E61" s="363"/>
      <c r="F61" s="363"/>
      <c r="G61" s="363"/>
      <c r="H61" s="219">
        <f>F60</f>
        <v>18</v>
      </c>
      <c r="I61" s="220" t="s">
        <v>15</v>
      </c>
      <c r="J61" s="219">
        <f>Бланк!AA61</f>
        <v>0</v>
      </c>
      <c r="K61" s="219">
        <f>Бланк!AB61</f>
        <v>0</v>
      </c>
      <c r="L61" s="219">
        <f>Бланк!AC61</f>
        <v>0</v>
      </c>
      <c r="M61" s="219">
        <f>Бланк!AD61</f>
        <v>0</v>
      </c>
    </row>
    <row r="62" spans="1:13" x14ac:dyDescent="0.25">
      <c r="A62" s="364"/>
      <c r="B62" s="364"/>
      <c r="C62" s="364"/>
      <c r="D62" s="364"/>
      <c r="E62" s="364"/>
      <c r="F62" s="364"/>
      <c r="G62" s="364"/>
      <c r="H62" s="219">
        <f>G60</f>
        <v>0</v>
      </c>
      <c r="I62" s="220" t="s">
        <v>1</v>
      </c>
      <c r="J62" s="219">
        <f>Бланк!AA62</f>
        <v>0</v>
      </c>
      <c r="K62" s="219">
        <f>Бланк!AB62</f>
        <v>0</v>
      </c>
      <c r="L62" s="219">
        <f>Бланк!AC62</f>
        <v>0</v>
      </c>
      <c r="M62" s="219">
        <f>Бланк!AD62</f>
        <v>0</v>
      </c>
    </row>
    <row r="63" spans="1:13" ht="30" x14ac:dyDescent="0.25">
      <c r="A63" s="362">
        <v>21</v>
      </c>
      <c r="B63" s="362">
        <f>Бланк!R63</f>
        <v>0</v>
      </c>
      <c r="C63" s="362">
        <f>Бланк!S63</f>
        <v>0</v>
      </c>
      <c r="D63" s="362">
        <f>Бланк!T63</f>
        <v>0</v>
      </c>
      <c r="E63" s="362">
        <f>Бланк!U63</f>
        <v>0</v>
      </c>
      <c r="F63" s="362">
        <f>Бланк!W63</f>
        <v>18</v>
      </c>
      <c r="G63" s="362">
        <f>Бланк!X63</f>
        <v>0</v>
      </c>
      <c r="H63" s="219">
        <f>F63</f>
        <v>18</v>
      </c>
      <c r="I63" s="220" t="s">
        <v>14</v>
      </c>
      <c r="J63" s="219">
        <f>Бланк!AA63</f>
        <v>0</v>
      </c>
      <c r="K63" s="219">
        <f>Бланк!AB63</f>
        <v>164</v>
      </c>
      <c r="L63" s="219">
        <f>Бланк!AC63</f>
        <v>0</v>
      </c>
      <c r="M63" s="219">
        <f>Бланк!AD63</f>
        <v>0</v>
      </c>
    </row>
    <row r="64" spans="1:13" ht="30" x14ac:dyDescent="0.25">
      <c r="A64" s="363"/>
      <c r="B64" s="363"/>
      <c r="C64" s="363"/>
      <c r="D64" s="363"/>
      <c r="E64" s="363"/>
      <c r="F64" s="363"/>
      <c r="G64" s="363"/>
      <c r="H64" s="219">
        <f>F63</f>
        <v>18</v>
      </c>
      <c r="I64" s="220" t="s">
        <v>15</v>
      </c>
      <c r="J64" s="219">
        <f>Бланк!AA64</f>
        <v>0</v>
      </c>
      <c r="K64" s="219">
        <f>Бланк!AB64</f>
        <v>0</v>
      </c>
      <c r="L64" s="219">
        <f>Бланк!AC64</f>
        <v>0</v>
      </c>
      <c r="M64" s="219">
        <f>Бланк!AD64</f>
        <v>0</v>
      </c>
    </row>
    <row r="65" spans="1:13" x14ac:dyDescent="0.25">
      <c r="A65" s="364"/>
      <c r="B65" s="364"/>
      <c r="C65" s="364"/>
      <c r="D65" s="364"/>
      <c r="E65" s="364"/>
      <c r="F65" s="364"/>
      <c r="G65" s="364"/>
      <c r="H65" s="219">
        <f>G63</f>
        <v>0</v>
      </c>
      <c r="I65" s="220" t="s">
        <v>1</v>
      </c>
      <c r="J65" s="219">
        <f>Бланк!AA65</f>
        <v>0</v>
      </c>
      <c r="K65" s="219">
        <f>Бланк!AB65</f>
        <v>0</v>
      </c>
      <c r="L65" s="219">
        <f>Бланк!AC65</f>
        <v>0</v>
      </c>
      <c r="M65" s="219">
        <f>Бланк!AD65</f>
        <v>0</v>
      </c>
    </row>
    <row r="66" spans="1:13" ht="30" x14ac:dyDescent="0.25">
      <c r="A66" s="362">
        <v>22</v>
      </c>
      <c r="B66" s="362">
        <f>Бланк!R66</f>
        <v>0</v>
      </c>
      <c r="C66" s="362">
        <f>Бланк!S66</f>
        <v>0</v>
      </c>
      <c r="D66" s="362">
        <f>Бланк!T66</f>
        <v>0</v>
      </c>
      <c r="E66" s="362">
        <f>Бланк!U66</f>
        <v>0</v>
      </c>
      <c r="F66" s="362">
        <f>Бланк!W66</f>
        <v>18</v>
      </c>
      <c r="G66" s="362">
        <f>Бланк!X66</f>
        <v>0</v>
      </c>
      <c r="H66" s="219">
        <f>F66</f>
        <v>18</v>
      </c>
      <c r="I66" s="220" t="s">
        <v>14</v>
      </c>
      <c r="J66" s="219">
        <f>Бланк!AA66</f>
        <v>0</v>
      </c>
      <c r="K66" s="219">
        <f>Бланк!AB66</f>
        <v>164</v>
      </c>
      <c r="L66" s="219">
        <f>Бланк!AC66</f>
        <v>0</v>
      </c>
      <c r="M66" s="219">
        <f>Бланк!AD66</f>
        <v>0</v>
      </c>
    </row>
    <row r="67" spans="1:13" ht="30" x14ac:dyDescent="0.25">
      <c r="A67" s="363"/>
      <c r="B67" s="363"/>
      <c r="C67" s="363"/>
      <c r="D67" s="363"/>
      <c r="E67" s="363"/>
      <c r="F67" s="363"/>
      <c r="G67" s="363"/>
      <c r="H67" s="219">
        <f>F66</f>
        <v>18</v>
      </c>
      <c r="I67" s="220" t="s">
        <v>15</v>
      </c>
      <c r="J67" s="219">
        <f>Бланк!AA67</f>
        <v>0</v>
      </c>
      <c r="K67" s="219">
        <f>Бланк!AB67</f>
        <v>0</v>
      </c>
      <c r="L67" s="219">
        <f>Бланк!AC67</f>
        <v>0</v>
      </c>
      <c r="M67" s="219">
        <f>Бланк!AD67</f>
        <v>0</v>
      </c>
    </row>
    <row r="68" spans="1:13" x14ac:dyDescent="0.25">
      <c r="A68" s="364"/>
      <c r="B68" s="364"/>
      <c r="C68" s="364"/>
      <c r="D68" s="364"/>
      <c r="E68" s="364"/>
      <c r="F68" s="364"/>
      <c r="G68" s="364"/>
      <c r="H68" s="219">
        <f>G66</f>
        <v>0</v>
      </c>
      <c r="I68" s="220" t="s">
        <v>1</v>
      </c>
      <c r="J68" s="219">
        <f>Бланк!AA68</f>
        <v>0</v>
      </c>
      <c r="K68" s="219">
        <f>Бланк!AB68</f>
        <v>0</v>
      </c>
      <c r="L68" s="219">
        <f>Бланк!AC68</f>
        <v>0</v>
      </c>
      <c r="M68" s="219">
        <f>Бланк!AD68</f>
        <v>0</v>
      </c>
    </row>
    <row r="69" spans="1:13" ht="30" x14ac:dyDescent="0.25">
      <c r="A69" s="362">
        <v>23</v>
      </c>
      <c r="B69" s="362">
        <f>Бланк!R69</f>
        <v>0</v>
      </c>
      <c r="C69" s="362">
        <f>Бланк!S69</f>
        <v>0</v>
      </c>
      <c r="D69" s="362">
        <f>Бланк!T69</f>
        <v>0</v>
      </c>
      <c r="E69" s="362">
        <f>Бланк!U69</f>
        <v>0</v>
      </c>
      <c r="F69" s="362">
        <f>Бланк!W69</f>
        <v>18</v>
      </c>
      <c r="G69" s="362">
        <f>Бланк!X69</f>
        <v>0</v>
      </c>
      <c r="H69" s="219">
        <f>F69</f>
        <v>18</v>
      </c>
      <c r="I69" s="220" t="s">
        <v>14</v>
      </c>
      <c r="J69" s="219">
        <f>Бланк!AA69</f>
        <v>0</v>
      </c>
      <c r="K69" s="219">
        <f>Бланк!AB69</f>
        <v>164</v>
      </c>
      <c r="L69" s="219">
        <f>Бланк!AC69</f>
        <v>0</v>
      </c>
      <c r="M69" s="219">
        <f>Бланк!AD69</f>
        <v>0</v>
      </c>
    </row>
    <row r="70" spans="1:13" ht="30" x14ac:dyDescent="0.25">
      <c r="A70" s="363"/>
      <c r="B70" s="363"/>
      <c r="C70" s="363"/>
      <c r="D70" s="363"/>
      <c r="E70" s="363"/>
      <c r="F70" s="363"/>
      <c r="G70" s="363"/>
      <c r="H70" s="219">
        <f>F69</f>
        <v>18</v>
      </c>
      <c r="I70" s="220" t="s">
        <v>15</v>
      </c>
      <c r="J70" s="219">
        <f>Бланк!AA70</f>
        <v>0</v>
      </c>
      <c r="K70" s="219">
        <f>Бланк!AB70</f>
        <v>0</v>
      </c>
      <c r="L70" s="219">
        <f>Бланк!AC70</f>
        <v>0</v>
      </c>
      <c r="M70" s="219">
        <f>Бланк!AD70</f>
        <v>0</v>
      </c>
    </row>
    <row r="71" spans="1:13" x14ac:dyDescent="0.25">
      <c r="A71" s="364"/>
      <c r="B71" s="364"/>
      <c r="C71" s="364"/>
      <c r="D71" s="364"/>
      <c r="E71" s="364"/>
      <c r="F71" s="364"/>
      <c r="G71" s="364"/>
      <c r="H71" s="219">
        <f>G69</f>
        <v>0</v>
      </c>
      <c r="I71" s="220" t="s">
        <v>1</v>
      </c>
      <c r="J71" s="219">
        <f>Бланк!AA71</f>
        <v>0</v>
      </c>
      <c r="K71" s="219">
        <f>Бланк!AB71</f>
        <v>0</v>
      </c>
      <c r="L71" s="219">
        <f>Бланк!AC71</f>
        <v>0</v>
      </c>
      <c r="M71" s="219">
        <f>Бланк!AD71</f>
        <v>0</v>
      </c>
    </row>
    <row r="72" spans="1:13" ht="30" x14ac:dyDescent="0.25">
      <c r="A72" s="362">
        <v>24</v>
      </c>
      <c r="B72" s="362">
        <f>Бланк!R72</f>
        <v>0</v>
      </c>
      <c r="C72" s="362">
        <f>Бланк!S72</f>
        <v>0</v>
      </c>
      <c r="D72" s="362">
        <f>Бланк!T72</f>
        <v>0</v>
      </c>
      <c r="E72" s="362">
        <f>Бланк!U72</f>
        <v>0</v>
      </c>
      <c r="F72" s="362">
        <f>Бланк!W72</f>
        <v>18</v>
      </c>
      <c r="G72" s="362">
        <f>Бланк!X72</f>
        <v>0</v>
      </c>
      <c r="H72" s="219">
        <f>F72</f>
        <v>18</v>
      </c>
      <c r="I72" s="220" t="s">
        <v>14</v>
      </c>
      <c r="J72" s="219">
        <f>Бланк!AA72</f>
        <v>0</v>
      </c>
      <c r="K72" s="219">
        <f>Бланк!AB72</f>
        <v>164</v>
      </c>
      <c r="L72" s="219">
        <f>Бланк!AC72</f>
        <v>0</v>
      </c>
      <c r="M72" s="219">
        <f>Бланк!AD72</f>
        <v>0</v>
      </c>
    </row>
    <row r="73" spans="1:13" ht="30" x14ac:dyDescent="0.25">
      <c r="A73" s="363"/>
      <c r="B73" s="363"/>
      <c r="C73" s="363"/>
      <c r="D73" s="363"/>
      <c r="E73" s="363"/>
      <c r="F73" s="363"/>
      <c r="G73" s="363"/>
      <c r="H73" s="219">
        <f>F72</f>
        <v>18</v>
      </c>
      <c r="I73" s="220" t="s">
        <v>15</v>
      </c>
      <c r="J73" s="219">
        <f>Бланк!AA73</f>
        <v>0</v>
      </c>
      <c r="K73" s="219">
        <f>Бланк!AB73</f>
        <v>0</v>
      </c>
      <c r="L73" s="219">
        <f>Бланк!AC73</f>
        <v>0</v>
      </c>
      <c r="M73" s="219">
        <f>Бланк!AD73</f>
        <v>0</v>
      </c>
    </row>
    <row r="74" spans="1:13" x14ac:dyDescent="0.25">
      <c r="A74" s="364"/>
      <c r="B74" s="364"/>
      <c r="C74" s="364"/>
      <c r="D74" s="364"/>
      <c r="E74" s="364"/>
      <c r="F74" s="364"/>
      <c r="G74" s="364"/>
      <c r="H74" s="219">
        <f>G72</f>
        <v>0</v>
      </c>
      <c r="I74" s="220" t="s">
        <v>1</v>
      </c>
      <c r="J74" s="219">
        <f>Бланк!AA74</f>
        <v>0</v>
      </c>
      <c r="K74" s="219">
        <f>Бланк!AB74</f>
        <v>0</v>
      </c>
      <c r="L74" s="219">
        <f>Бланк!AC74</f>
        <v>0</v>
      </c>
      <c r="M74" s="219">
        <f>Бланк!AD74</f>
        <v>0</v>
      </c>
    </row>
    <row r="75" spans="1:13" ht="30" x14ac:dyDescent="0.25">
      <c r="A75" s="362">
        <v>25</v>
      </c>
      <c r="B75" s="362">
        <f>Бланк!R75</f>
        <v>0</v>
      </c>
      <c r="C75" s="362">
        <f>Бланк!S75</f>
        <v>0</v>
      </c>
      <c r="D75" s="362">
        <f>Бланк!T75</f>
        <v>0</v>
      </c>
      <c r="E75" s="362">
        <f>Бланк!U75</f>
        <v>0</v>
      </c>
      <c r="F75" s="362">
        <f>Бланк!W75</f>
        <v>18</v>
      </c>
      <c r="G75" s="362">
        <f>Бланк!X75</f>
        <v>0</v>
      </c>
      <c r="H75" s="219">
        <f>F75</f>
        <v>18</v>
      </c>
      <c r="I75" s="220" t="s">
        <v>14</v>
      </c>
      <c r="J75" s="219">
        <f>Бланк!AA75</f>
        <v>0</v>
      </c>
      <c r="K75" s="219">
        <f>Бланк!AB75</f>
        <v>164</v>
      </c>
      <c r="L75" s="219">
        <f>Бланк!AC75</f>
        <v>0</v>
      </c>
      <c r="M75" s="219">
        <f>Бланк!AD75</f>
        <v>0</v>
      </c>
    </row>
    <row r="76" spans="1:13" ht="30" x14ac:dyDescent="0.25">
      <c r="A76" s="363"/>
      <c r="B76" s="363"/>
      <c r="C76" s="363"/>
      <c r="D76" s="363"/>
      <c r="E76" s="363"/>
      <c r="F76" s="363"/>
      <c r="G76" s="363"/>
      <c r="H76" s="219">
        <f>F75</f>
        <v>18</v>
      </c>
      <c r="I76" s="220" t="s">
        <v>15</v>
      </c>
      <c r="J76" s="219">
        <f>Бланк!AA76</f>
        <v>0</v>
      </c>
      <c r="K76" s="219">
        <f>Бланк!AB76</f>
        <v>0</v>
      </c>
      <c r="L76" s="219">
        <f>Бланк!AC76</f>
        <v>0</v>
      </c>
      <c r="M76" s="219">
        <f>Бланк!AD76</f>
        <v>0</v>
      </c>
    </row>
    <row r="77" spans="1:13" x14ac:dyDescent="0.25">
      <c r="A77" s="364"/>
      <c r="B77" s="364"/>
      <c r="C77" s="364"/>
      <c r="D77" s="364"/>
      <c r="E77" s="364"/>
      <c r="F77" s="364"/>
      <c r="G77" s="364"/>
      <c r="H77" s="219">
        <f>G75</f>
        <v>0</v>
      </c>
      <c r="I77" s="220" t="s">
        <v>1</v>
      </c>
      <c r="J77" s="219">
        <f>Бланк!AA77</f>
        <v>0</v>
      </c>
      <c r="K77" s="219">
        <f>Бланк!AB77</f>
        <v>0</v>
      </c>
      <c r="L77" s="219">
        <f>Бланк!AC77</f>
        <v>0</v>
      </c>
      <c r="M77" s="219">
        <f>Бланк!AD77</f>
        <v>0</v>
      </c>
    </row>
    <row r="78" spans="1:13" ht="30" x14ac:dyDescent="0.25">
      <c r="A78" s="362">
        <v>26</v>
      </c>
      <c r="B78" s="362">
        <f>Бланк!R78</f>
        <v>0</v>
      </c>
      <c r="C78" s="362">
        <f>Бланк!S78</f>
        <v>0</v>
      </c>
      <c r="D78" s="362">
        <f>Бланк!T78</f>
        <v>0</v>
      </c>
      <c r="E78" s="362">
        <f>Бланк!U78</f>
        <v>0</v>
      </c>
      <c r="F78" s="362">
        <f>Бланк!W78</f>
        <v>18</v>
      </c>
      <c r="G78" s="362">
        <f>Бланк!X78</f>
        <v>0</v>
      </c>
      <c r="H78" s="219">
        <f>F78</f>
        <v>18</v>
      </c>
      <c r="I78" s="220" t="s">
        <v>14</v>
      </c>
      <c r="J78" s="219">
        <f>Бланк!AA78</f>
        <v>0</v>
      </c>
      <c r="K78" s="219">
        <f>Бланк!AB78</f>
        <v>164</v>
      </c>
      <c r="L78" s="219">
        <f>Бланк!AC78</f>
        <v>0</v>
      </c>
      <c r="M78" s="219">
        <f>Бланк!AD78</f>
        <v>0</v>
      </c>
    </row>
    <row r="79" spans="1:13" ht="30" x14ac:dyDescent="0.25">
      <c r="A79" s="363"/>
      <c r="B79" s="363"/>
      <c r="C79" s="363"/>
      <c r="D79" s="363"/>
      <c r="E79" s="363"/>
      <c r="F79" s="363"/>
      <c r="G79" s="363"/>
      <c r="H79" s="219">
        <f>F78</f>
        <v>18</v>
      </c>
      <c r="I79" s="220" t="s">
        <v>15</v>
      </c>
      <c r="J79" s="219">
        <f>Бланк!AA79</f>
        <v>0</v>
      </c>
      <c r="K79" s="219">
        <f>Бланк!AB79</f>
        <v>0</v>
      </c>
      <c r="L79" s="219">
        <f>Бланк!AC79</f>
        <v>0</v>
      </c>
      <c r="M79" s="219">
        <f>Бланк!AD79</f>
        <v>0</v>
      </c>
    </row>
    <row r="80" spans="1:13" x14ac:dyDescent="0.25">
      <c r="A80" s="364"/>
      <c r="B80" s="364"/>
      <c r="C80" s="364"/>
      <c r="D80" s="364"/>
      <c r="E80" s="364"/>
      <c r="F80" s="364"/>
      <c r="G80" s="364"/>
      <c r="H80" s="219">
        <f>G78</f>
        <v>0</v>
      </c>
      <c r="I80" s="220" t="s">
        <v>1</v>
      </c>
      <c r="J80" s="219">
        <f>Бланк!AA80</f>
        <v>0</v>
      </c>
      <c r="K80" s="219">
        <f>Бланк!AB80</f>
        <v>0</v>
      </c>
      <c r="L80" s="219">
        <f>Бланк!AC80</f>
        <v>0</v>
      </c>
      <c r="M80" s="219">
        <f>Бланк!AD80</f>
        <v>0</v>
      </c>
    </row>
    <row r="81" spans="1:13" ht="30" x14ac:dyDescent="0.25">
      <c r="A81" s="362">
        <v>27</v>
      </c>
      <c r="B81" s="362">
        <f>Бланк!R81</f>
        <v>0</v>
      </c>
      <c r="C81" s="362">
        <f>Бланк!S81</f>
        <v>0</v>
      </c>
      <c r="D81" s="362">
        <f>Бланк!T81</f>
        <v>0</v>
      </c>
      <c r="E81" s="362">
        <f>Бланк!U81</f>
        <v>0</v>
      </c>
      <c r="F81" s="362">
        <f>Бланк!W81</f>
        <v>18</v>
      </c>
      <c r="G81" s="362">
        <f>Бланк!X81</f>
        <v>0</v>
      </c>
      <c r="H81" s="219">
        <f>F81</f>
        <v>18</v>
      </c>
      <c r="I81" s="220" t="s">
        <v>14</v>
      </c>
      <c r="J81" s="219">
        <f>Бланк!AA81</f>
        <v>0</v>
      </c>
      <c r="K81" s="219">
        <f>Бланк!AB81</f>
        <v>164</v>
      </c>
      <c r="L81" s="219">
        <f>Бланк!AC81</f>
        <v>0</v>
      </c>
      <c r="M81" s="219">
        <f>Бланк!AD81</f>
        <v>0</v>
      </c>
    </row>
    <row r="82" spans="1:13" ht="30" x14ac:dyDescent="0.25">
      <c r="A82" s="363"/>
      <c r="B82" s="363"/>
      <c r="C82" s="363"/>
      <c r="D82" s="363"/>
      <c r="E82" s="363"/>
      <c r="F82" s="363"/>
      <c r="G82" s="363"/>
      <c r="H82" s="219">
        <f>F81</f>
        <v>18</v>
      </c>
      <c r="I82" s="220" t="s">
        <v>15</v>
      </c>
      <c r="J82" s="219">
        <f>Бланк!AA82</f>
        <v>0</v>
      </c>
      <c r="K82" s="219">
        <f>Бланк!AB82</f>
        <v>0</v>
      </c>
      <c r="L82" s="219">
        <f>Бланк!AC82</f>
        <v>0</v>
      </c>
      <c r="M82" s="219">
        <f>Бланк!AD82</f>
        <v>0</v>
      </c>
    </row>
    <row r="83" spans="1:13" x14ac:dyDescent="0.25">
      <c r="A83" s="364"/>
      <c r="B83" s="364"/>
      <c r="C83" s="364"/>
      <c r="D83" s="364"/>
      <c r="E83" s="364"/>
      <c r="F83" s="364"/>
      <c r="G83" s="364"/>
      <c r="H83" s="219">
        <f>G81</f>
        <v>0</v>
      </c>
      <c r="I83" s="220" t="s">
        <v>1</v>
      </c>
      <c r="J83" s="219">
        <f>Бланк!AA83</f>
        <v>0</v>
      </c>
      <c r="K83" s="219">
        <f>Бланк!AB83</f>
        <v>0</v>
      </c>
      <c r="L83" s="219">
        <f>Бланк!AC83</f>
        <v>0</v>
      </c>
      <c r="M83" s="219">
        <f>Бланк!AD83</f>
        <v>0</v>
      </c>
    </row>
    <row r="84" spans="1:13" ht="30" x14ac:dyDescent="0.25">
      <c r="A84" s="362">
        <v>28</v>
      </c>
      <c r="B84" s="362">
        <f>Бланк!R84</f>
        <v>0</v>
      </c>
      <c r="C84" s="362">
        <f>Бланк!S84</f>
        <v>0</v>
      </c>
      <c r="D84" s="362">
        <f>Бланк!T84</f>
        <v>0</v>
      </c>
      <c r="E84" s="362">
        <f>Бланк!U84</f>
        <v>0</v>
      </c>
      <c r="F84" s="362">
        <f>Бланк!W84</f>
        <v>18</v>
      </c>
      <c r="G84" s="362">
        <f>Бланк!X84</f>
        <v>0</v>
      </c>
      <c r="H84" s="219">
        <f>F84</f>
        <v>18</v>
      </c>
      <c r="I84" s="220" t="s">
        <v>14</v>
      </c>
      <c r="J84" s="219">
        <f>Бланк!AA84</f>
        <v>0</v>
      </c>
      <c r="K84" s="219">
        <f>Бланк!AB84</f>
        <v>164</v>
      </c>
      <c r="L84" s="219">
        <f>Бланк!AC84</f>
        <v>0</v>
      </c>
      <c r="M84" s="219">
        <f>Бланк!AD84</f>
        <v>0</v>
      </c>
    </row>
    <row r="85" spans="1:13" ht="30" x14ac:dyDescent="0.25">
      <c r="A85" s="363"/>
      <c r="B85" s="363"/>
      <c r="C85" s="363"/>
      <c r="D85" s="363"/>
      <c r="E85" s="363"/>
      <c r="F85" s="363"/>
      <c r="G85" s="363"/>
      <c r="H85" s="219">
        <f>F84</f>
        <v>18</v>
      </c>
      <c r="I85" s="220" t="s">
        <v>15</v>
      </c>
      <c r="J85" s="219">
        <f>Бланк!AA85</f>
        <v>0</v>
      </c>
      <c r="K85" s="219">
        <f>Бланк!AB85</f>
        <v>0</v>
      </c>
      <c r="L85" s="219">
        <f>Бланк!AC85</f>
        <v>0</v>
      </c>
      <c r="M85" s="219">
        <f>Бланк!AD85</f>
        <v>0</v>
      </c>
    </row>
    <row r="86" spans="1:13" x14ac:dyDescent="0.25">
      <c r="A86" s="364"/>
      <c r="B86" s="364"/>
      <c r="C86" s="364"/>
      <c r="D86" s="364"/>
      <c r="E86" s="364"/>
      <c r="F86" s="364"/>
      <c r="G86" s="364"/>
      <c r="H86" s="219">
        <f>G84</f>
        <v>0</v>
      </c>
      <c r="I86" s="220" t="s">
        <v>1</v>
      </c>
      <c r="J86" s="219">
        <f>Бланк!AA86</f>
        <v>0</v>
      </c>
      <c r="K86" s="219">
        <f>Бланк!AB86</f>
        <v>0</v>
      </c>
      <c r="L86" s="219">
        <f>Бланк!AC86</f>
        <v>0</v>
      </c>
      <c r="M86" s="219">
        <f>Бланк!AD86</f>
        <v>0</v>
      </c>
    </row>
    <row r="87" spans="1:13" ht="30" x14ac:dyDescent="0.25">
      <c r="A87" s="362">
        <v>29</v>
      </c>
      <c r="B87" s="362">
        <f>Бланк!R87</f>
        <v>0</v>
      </c>
      <c r="C87" s="362">
        <f>Бланк!S87</f>
        <v>0</v>
      </c>
      <c r="D87" s="362">
        <f>Бланк!T87</f>
        <v>0</v>
      </c>
      <c r="E87" s="362">
        <f>Бланк!U87</f>
        <v>0</v>
      </c>
      <c r="F87" s="362">
        <f>Бланк!W87</f>
        <v>18</v>
      </c>
      <c r="G87" s="362">
        <f>Бланк!X87</f>
        <v>0</v>
      </c>
      <c r="H87" s="219">
        <f>F87</f>
        <v>18</v>
      </c>
      <c r="I87" s="220" t="s">
        <v>14</v>
      </c>
      <c r="J87" s="219">
        <f>Бланк!AA87</f>
        <v>0</v>
      </c>
      <c r="K87" s="219">
        <f>Бланк!AB87</f>
        <v>164</v>
      </c>
      <c r="L87" s="219">
        <f>Бланк!AC87</f>
        <v>0</v>
      </c>
      <c r="M87" s="219">
        <f>Бланк!AD87</f>
        <v>0</v>
      </c>
    </row>
    <row r="88" spans="1:13" ht="30" x14ac:dyDescent="0.25">
      <c r="A88" s="363"/>
      <c r="B88" s="363"/>
      <c r="C88" s="363"/>
      <c r="D88" s="363"/>
      <c r="E88" s="363"/>
      <c r="F88" s="363"/>
      <c r="G88" s="363"/>
      <c r="H88" s="219">
        <f>F87</f>
        <v>18</v>
      </c>
      <c r="I88" s="220" t="s">
        <v>15</v>
      </c>
      <c r="J88" s="219">
        <f>Бланк!AA88</f>
        <v>0</v>
      </c>
      <c r="K88" s="219">
        <f>Бланк!AB88</f>
        <v>0</v>
      </c>
      <c r="L88" s="219">
        <f>Бланк!AC88</f>
        <v>0</v>
      </c>
      <c r="M88" s="219">
        <f>Бланк!AD88</f>
        <v>0</v>
      </c>
    </row>
    <row r="89" spans="1:13" x14ac:dyDescent="0.25">
      <c r="A89" s="364"/>
      <c r="B89" s="364"/>
      <c r="C89" s="364"/>
      <c r="D89" s="364"/>
      <c r="E89" s="364"/>
      <c r="F89" s="364"/>
      <c r="G89" s="364"/>
      <c r="H89" s="219">
        <f>G87</f>
        <v>0</v>
      </c>
      <c r="I89" s="220" t="s">
        <v>1</v>
      </c>
      <c r="J89" s="219">
        <f>Бланк!AA89</f>
        <v>0</v>
      </c>
      <c r="K89" s="219">
        <f>Бланк!AB89</f>
        <v>0</v>
      </c>
      <c r="L89" s="219">
        <f>Бланк!AC89</f>
        <v>0</v>
      </c>
      <c r="M89" s="219">
        <f>Бланк!AD89</f>
        <v>0</v>
      </c>
    </row>
    <row r="90" spans="1:13" ht="30" x14ac:dyDescent="0.25">
      <c r="A90" s="362">
        <v>30</v>
      </c>
      <c r="B90" s="362">
        <f>Бланк!R90</f>
        <v>0</v>
      </c>
      <c r="C90" s="362">
        <f>Бланк!S90</f>
        <v>0</v>
      </c>
      <c r="D90" s="362">
        <f>Бланк!T90</f>
        <v>0</v>
      </c>
      <c r="E90" s="362">
        <f>Бланк!U90</f>
        <v>0</v>
      </c>
      <c r="F90" s="362">
        <f>Бланк!W90</f>
        <v>18</v>
      </c>
      <c r="G90" s="362">
        <f>Бланк!X90</f>
        <v>0</v>
      </c>
      <c r="H90" s="219">
        <f>F90</f>
        <v>18</v>
      </c>
      <c r="I90" s="220" t="s">
        <v>14</v>
      </c>
      <c r="J90" s="219">
        <f>Бланк!AA90</f>
        <v>0</v>
      </c>
      <c r="K90" s="219">
        <f>Бланк!AB90</f>
        <v>164</v>
      </c>
      <c r="L90" s="219">
        <f>Бланк!AC90</f>
        <v>0</v>
      </c>
      <c r="M90" s="219">
        <f>Бланк!AD90</f>
        <v>0</v>
      </c>
    </row>
    <row r="91" spans="1:13" ht="30" x14ac:dyDescent="0.25">
      <c r="A91" s="363"/>
      <c r="B91" s="363"/>
      <c r="C91" s="363"/>
      <c r="D91" s="363"/>
      <c r="E91" s="363"/>
      <c r="F91" s="363"/>
      <c r="G91" s="363"/>
      <c r="H91" s="219">
        <f>F90</f>
        <v>18</v>
      </c>
      <c r="I91" s="220" t="s">
        <v>15</v>
      </c>
      <c r="J91" s="219">
        <f>Бланк!AA91</f>
        <v>0</v>
      </c>
      <c r="K91" s="219">
        <f>Бланк!AB91</f>
        <v>0</v>
      </c>
      <c r="L91" s="219">
        <f>Бланк!AC91</f>
        <v>0</v>
      </c>
      <c r="M91" s="219">
        <f>Бланк!AD91</f>
        <v>0</v>
      </c>
    </row>
    <row r="92" spans="1:13" x14ac:dyDescent="0.25">
      <c r="A92" s="364"/>
      <c r="B92" s="364"/>
      <c r="C92" s="364"/>
      <c r="D92" s="364"/>
      <c r="E92" s="364"/>
      <c r="F92" s="364"/>
      <c r="G92" s="364"/>
      <c r="H92" s="219">
        <f>G90</f>
        <v>0</v>
      </c>
      <c r="I92" s="220" t="s">
        <v>1</v>
      </c>
      <c r="J92" s="219">
        <f>Бланк!AA92</f>
        <v>0</v>
      </c>
      <c r="K92" s="219">
        <f>Бланк!AB92</f>
        <v>0</v>
      </c>
      <c r="L92" s="219">
        <f>Бланк!AC92</f>
        <v>0</v>
      </c>
      <c r="M92" s="219">
        <f>Бланк!AD92</f>
        <v>0</v>
      </c>
    </row>
  </sheetData>
  <sheetProtection password="C668" sheet="1" objects="1" scenarios="1" selectLockedCells="1" selectUnlockedCells="1"/>
  <mergeCells count="211">
    <mergeCell ref="A87:A89"/>
    <mergeCell ref="B87:B89"/>
    <mergeCell ref="C87:C89"/>
    <mergeCell ref="D87:D89"/>
    <mergeCell ref="E87:E89"/>
    <mergeCell ref="F87:F89"/>
    <mergeCell ref="G87:G89"/>
    <mergeCell ref="A90:A92"/>
    <mergeCell ref="B90:B92"/>
    <mergeCell ref="C90:C92"/>
    <mergeCell ref="D90:D92"/>
    <mergeCell ref="E90:E92"/>
    <mergeCell ref="F90:F92"/>
    <mergeCell ref="G90:G92"/>
    <mergeCell ref="A81:A83"/>
    <mergeCell ref="B81:B83"/>
    <mergeCell ref="C81:C83"/>
    <mergeCell ref="D81:D83"/>
    <mergeCell ref="E81:E83"/>
    <mergeCell ref="F81:F83"/>
    <mergeCell ref="G81:G83"/>
    <mergeCell ref="A84:A86"/>
    <mergeCell ref="B84:B86"/>
    <mergeCell ref="C84:C86"/>
    <mergeCell ref="D84:D86"/>
    <mergeCell ref="E84:E86"/>
    <mergeCell ref="F84:F86"/>
    <mergeCell ref="G84:G86"/>
    <mergeCell ref="A75:A77"/>
    <mergeCell ref="B75:B77"/>
    <mergeCell ref="C75:C77"/>
    <mergeCell ref="D75:D77"/>
    <mergeCell ref="E75:E77"/>
    <mergeCell ref="F75:F77"/>
    <mergeCell ref="G75:G77"/>
    <mergeCell ref="A78:A80"/>
    <mergeCell ref="B78:B80"/>
    <mergeCell ref="C78:C80"/>
    <mergeCell ref="D78:D80"/>
    <mergeCell ref="E78:E80"/>
    <mergeCell ref="F78:F80"/>
    <mergeCell ref="G78:G80"/>
    <mergeCell ref="A69:A71"/>
    <mergeCell ref="B69:B71"/>
    <mergeCell ref="C69:C71"/>
    <mergeCell ref="D69:D71"/>
    <mergeCell ref="E69:E71"/>
    <mergeCell ref="F69:F71"/>
    <mergeCell ref="G69:G71"/>
    <mergeCell ref="A72:A74"/>
    <mergeCell ref="B72:B74"/>
    <mergeCell ref="C72:C74"/>
    <mergeCell ref="D72:D74"/>
    <mergeCell ref="E72:E74"/>
    <mergeCell ref="F72:F74"/>
    <mergeCell ref="G72:G74"/>
    <mergeCell ref="A63:A65"/>
    <mergeCell ref="B63:B65"/>
    <mergeCell ref="C63:C65"/>
    <mergeCell ref="D63:D65"/>
    <mergeCell ref="E63:E65"/>
    <mergeCell ref="F63:F65"/>
    <mergeCell ref="G63:G65"/>
    <mergeCell ref="A66:A68"/>
    <mergeCell ref="B66:B68"/>
    <mergeCell ref="C66:C68"/>
    <mergeCell ref="D66:D68"/>
    <mergeCell ref="E66:E68"/>
    <mergeCell ref="F66:F68"/>
    <mergeCell ref="G66:G68"/>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G51:G53"/>
    <mergeCell ref="A51:A53"/>
    <mergeCell ref="B51:B53"/>
    <mergeCell ref="C51:C53"/>
    <mergeCell ref="D51:D53"/>
    <mergeCell ref="E51:E53"/>
    <mergeCell ref="F51:F53"/>
    <mergeCell ref="G45:G47"/>
    <mergeCell ref="A48:A50"/>
    <mergeCell ref="B48:B50"/>
    <mergeCell ref="C48:C50"/>
    <mergeCell ref="D48:D50"/>
    <mergeCell ref="E48:E50"/>
    <mergeCell ref="F48:F50"/>
    <mergeCell ref="G48:G50"/>
    <mergeCell ref="A45:A47"/>
    <mergeCell ref="B45:B47"/>
    <mergeCell ref="C45:C47"/>
    <mergeCell ref="D45:D47"/>
    <mergeCell ref="E45:E47"/>
    <mergeCell ref="F45:F47"/>
    <mergeCell ref="G39:G41"/>
    <mergeCell ref="A42:A44"/>
    <mergeCell ref="B42:B44"/>
    <mergeCell ref="C42:C44"/>
    <mergeCell ref="D42:D44"/>
    <mergeCell ref="E42:E44"/>
    <mergeCell ref="F42:F44"/>
    <mergeCell ref="G42:G44"/>
    <mergeCell ref="A39:A41"/>
    <mergeCell ref="B39:B41"/>
    <mergeCell ref="C39:C41"/>
    <mergeCell ref="D39:D41"/>
    <mergeCell ref="E39:E41"/>
    <mergeCell ref="F39:F41"/>
    <mergeCell ref="G33:G35"/>
    <mergeCell ref="A36:A38"/>
    <mergeCell ref="B36:B38"/>
    <mergeCell ref="C36:C38"/>
    <mergeCell ref="D36:D38"/>
    <mergeCell ref="E36:E38"/>
    <mergeCell ref="F36:F38"/>
    <mergeCell ref="G36:G38"/>
    <mergeCell ref="A33:A35"/>
    <mergeCell ref="B33:B35"/>
    <mergeCell ref="C33:C35"/>
    <mergeCell ref="D33:D35"/>
    <mergeCell ref="E33:E35"/>
    <mergeCell ref="F33:F35"/>
    <mergeCell ref="G27:G29"/>
    <mergeCell ref="A30:A32"/>
    <mergeCell ref="B30:B32"/>
    <mergeCell ref="C30:C32"/>
    <mergeCell ref="D30:D32"/>
    <mergeCell ref="E30:E32"/>
    <mergeCell ref="F30:F32"/>
    <mergeCell ref="G30:G32"/>
    <mergeCell ref="A27:A29"/>
    <mergeCell ref="B27:B29"/>
    <mergeCell ref="C27:C29"/>
    <mergeCell ref="D27:D29"/>
    <mergeCell ref="E27:E29"/>
    <mergeCell ref="F27:F29"/>
    <mergeCell ref="G21:G23"/>
    <mergeCell ref="A24:A26"/>
    <mergeCell ref="B24:B26"/>
    <mergeCell ref="C24:C26"/>
    <mergeCell ref="D24:D26"/>
    <mergeCell ref="E24:E26"/>
    <mergeCell ref="F24:F26"/>
    <mergeCell ref="G24:G26"/>
    <mergeCell ref="A21:A23"/>
    <mergeCell ref="B21:B23"/>
    <mergeCell ref="C21:C23"/>
    <mergeCell ref="D21:D23"/>
    <mergeCell ref="E21:E23"/>
    <mergeCell ref="F21:F23"/>
    <mergeCell ref="G15:G17"/>
    <mergeCell ref="A18:A20"/>
    <mergeCell ref="B18:B20"/>
    <mergeCell ref="C18:C20"/>
    <mergeCell ref="D18:D20"/>
    <mergeCell ref="E18:E20"/>
    <mergeCell ref="F18:F20"/>
    <mergeCell ref="G18:G20"/>
    <mergeCell ref="A15:A17"/>
    <mergeCell ref="B15:B17"/>
    <mergeCell ref="C15:C17"/>
    <mergeCell ref="D15:D17"/>
    <mergeCell ref="E15:E17"/>
    <mergeCell ref="F15:F17"/>
    <mergeCell ref="B12:B14"/>
    <mergeCell ref="C12:C14"/>
    <mergeCell ref="D12:D14"/>
    <mergeCell ref="E12:E14"/>
    <mergeCell ref="F12:F14"/>
    <mergeCell ref="G12:G14"/>
    <mergeCell ref="A9:A11"/>
    <mergeCell ref="B9:B11"/>
    <mergeCell ref="C9:C11"/>
    <mergeCell ref="D9:D11"/>
    <mergeCell ref="E9:E11"/>
    <mergeCell ref="F9:F11"/>
    <mergeCell ref="A1:M1"/>
    <mergeCell ref="A54:A56"/>
    <mergeCell ref="B54:B56"/>
    <mergeCell ref="C54:C56"/>
    <mergeCell ref="D54:D56"/>
    <mergeCell ref="E54:E56"/>
    <mergeCell ref="F54:F56"/>
    <mergeCell ref="G54:G56"/>
    <mergeCell ref="G3:G5"/>
    <mergeCell ref="A6:A8"/>
    <mergeCell ref="B6:B8"/>
    <mergeCell ref="C6:C8"/>
    <mergeCell ref="D6:D8"/>
    <mergeCell ref="E6:E8"/>
    <mergeCell ref="F6:F8"/>
    <mergeCell ref="G6:G8"/>
    <mergeCell ref="A3:A5"/>
    <mergeCell ref="B3:B5"/>
    <mergeCell ref="C3:C5"/>
    <mergeCell ref="D3:D5"/>
    <mergeCell ref="E3:E5"/>
    <mergeCell ref="F3:F5"/>
    <mergeCell ref="G9:G11"/>
    <mergeCell ref="A12:A14"/>
  </mergeCells>
  <pageMargins left="0.23622047244094491" right="0.23622047244094491" top="0.15748031496062992"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J1" workbookViewId="0">
      <selection activeCell="W11" sqref="W11"/>
    </sheetView>
  </sheetViews>
  <sheetFormatPr defaultRowHeight="15" x14ac:dyDescent="0.25"/>
  <cols>
    <col min="1" max="1" width="1.42578125" style="261" hidden="1" customWidth="1"/>
    <col min="2" max="2" width="7.7109375" style="261" hidden="1" customWidth="1"/>
    <col min="3" max="3" width="21.28515625" style="261" hidden="1" customWidth="1"/>
    <col min="4" max="4" width="13.5703125" style="262" hidden="1" customWidth="1"/>
    <col min="5" max="5" width="10" style="261" hidden="1" customWidth="1"/>
    <col min="6" max="6" width="14" style="261" hidden="1" customWidth="1"/>
    <col min="7" max="7" width="13" style="261" hidden="1" customWidth="1"/>
    <col min="8" max="8" width="11.42578125" style="261" hidden="1" customWidth="1"/>
    <col min="9" max="9" width="11.28515625" style="261" hidden="1" customWidth="1"/>
    <col min="10" max="13" width="9.140625" style="260" customWidth="1"/>
    <col min="14" max="14" width="9.140625" customWidth="1"/>
  </cols>
  <sheetData>
    <row r="1" spans="1:13" ht="15.75" thickBot="1" x14ac:dyDescent="0.3">
      <c r="A1" s="107"/>
      <c r="B1" s="107"/>
      <c r="C1" s="107"/>
      <c r="D1" s="108"/>
      <c r="E1" s="107"/>
      <c r="F1" s="107"/>
      <c r="G1" s="107"/>
      <c r="H1" s="107"/>
      <c r="I1" s="107"/>
      <c r="J1" s="257"/>
      <c r="K1" s="257"/>
      <c r="L1" s="257"/>
      <c r="M1" s="257"/>
    </row>
    <row r="2" spans="1:13" ht="15.75" thickBot="1" x14ac:dyDescent="0.3">
      <c r="A2" s="107"/>
      <c r="B2" s="107"/>
      <c r="C2" s="107" t="s">
        <v>87</v>
      </c>
      <c r="D2" s="108"/>
      <c r="E2" s="107" t="s">
        <v>58</v>
      </c>
      <c r="F2" s="109">
        <v>31</v>
      </c>
      <c r="G2" s="107"/>
      <c r="H2" s="107"/>
      <c r="I2" s="107"/>
      <c r="J2" s="257"/>
      <c r="K2" s="257"/>
      <c r="L2" s="257"/>
      <c r="M2" s="257"/>
    </row>
    <row r="3" spans="1:13" x14ac:dyDescent="0.25">
      <c r="A3" s="107"/>
      <c r="B3" s="107"/>
      <c r="C3" s="107"/>
      <c r="D3" s="108"/>
      <c r="E3" s="107"/>
      <c r="F3" s="107"/>
      <c r="G3" s="107"/>
      <c r="H3" s="107"/>
      <c r="I3" s="107"/>
      <c r="J3" s="257"/>
      <c r="K3" s="257"/>
      <c r="L3" s="257"/>
      <c r="M3" s="257"/>
    </row>
    <row r="4" spans="1:13" s="13" customFormat="1" ht="30" x14ac:dyDescent="0.25">
      <c r="A4" s="110"/>
      <c r="B4" s="111" t="s">
        <v>90</v>
      </c>
      <c r="C4" s="111" t="s">
        <v>88</v>
      </c>
      <c r="D4" s="112" t="s">
        <v>89</v>
      </c>
      <c r="E4" s="111" t="s">
        <v>91</v>
      </c>
      <c r="F4" s="111" t="s">
        <v>89</v>
      </c>
      <c r="G4" s="111" t="s">
        <v>91</v>
      </c>
      <c r="H4" s="111" t="s">
        <v>89</v>
      </c>
      <c r="I4" s="111" t="s">
        <v>91</v>
      </c>
      <c r="J4" s="258"/>
      <c r="K4" s="258"/>
      <c r="L4" s="258"/>
      <c r="M4" s="258"/>
    </row>
    <row r="5" spans="1:13" s="13" customFormat="1" ht="30" x14ac:dyDescent="0.25">
      <c r="A5" s="110"/>
      <c r="B5" s="111"/>
      <c r="C5" s="111"/>
      <c r="D5" s="112" t="s">
        <v>98</v>
      </c>
      <c r="E5" s="111"/>
      <c r="F5" s="111" t="s">
        <v>99</v>
      </c>
      <c r="G5" s="111"/>
      <c r="H5" s="111" t="s">
        <v>100</v>
      </c>
      <c r="I5" s="111"/>
      <c r="J5" s="258"/>
      <c r="K5" s="258"/>
      <c r="L5" s="258"/>
      <c r="M5" s="258"/>
    </row>
    <row r="6" spans="1:13" x14ac:dyDescent="0.25">
      <c r="A6" s="107"/>
      <c r="B6" s="113">
        <v>1</v>
      </c>
      <c r="C6" s="114" t="s">
        <v>59</v>
      </c>
      <c r="D6" s="115">
        <v>7.61</v>
      </c>
      <c r="E6" s="113" t="s">
        <v>92</v>
      </c>
      <c r="F6" s="113">
        <v>5.8</v>
      </c>
      <c r="G6" s="113" t="s">
        <v>92</v>
      </c>
      <c r="H6" s="113">
        <v>0.23499999999999999</v>
      </c>
      <c r="I6" s="113" t="s">
        <v>92</v>
      </c>
      <c r="J6" s="257"/>
      <c r="K6" s="257"/>
      <c r="L6" s="257"/>
      <c r="M6" s="257"/>
    </row>
    <row r="7" spans="1:13" x14ac:dyDescent="0.25">
      <c r="A7" s="107"/>
      <c r="B7" s="113">
        <v>2</v>
      </c>
      <c r="C7" s="114" t="s">
        <v>60</v>
      </c>
      <c r="D7" s="115">
        <v>7.61</v>
      </c>
      <c r="E7" s="113" t="s">
        <v>92</v>
      </c>
      <c r="F7" s="113">
        <v>6.44</v>
      </c>
      <c r="G7" s="113" t="s">
        <v>92</v>
      </c>
      <c r="H7" s="113">
        <v>0.23499999999999999</v>
      </c>
      <c r="I7" s="113" t="s">
        <v>92</v>
      </c>
      <c r="J7" s="257"/>
      <c r="K7" s="257"/>
      <c r="L7" s="259"/>
      <c r="M7" s="257"/>
    </row>
    <row r="8" spans="1:13" x14ac:dyDescent="0.25">
      <c r="A8" s="107"/>
      <c r="B8" s="113">
        <v>3</v>
      </c>
      <c r="C8" s="114" t="s">
        <v>251</v>
      </c>
      <c r="D8" s="115">
        <v>6.78</v>
      </c>
      <c r="E8" s="113" t="s">
        <v>92</v>
      </c>
      <c r="F8" s="113">
        <v>5.46</v>
      </c>
      <c r="G8" s="113" t="s">
        <v>92</v>
      </c>
      <c r="H8" s="113">
        <v>0.23499999999999999</v>
      </c>
      <c r="I8" s="113" t="s">
        <v>92</v>
      </c>
      <c r="J8" s="257"/>
      <c r="K8" s="257"/>
      <c r="L8" s="259"/>
      <c r="M8" s="257"/>
    </row>
    <row r="9" spans="1:13" x14ac:dyDescent="0.25">
      <c r="A9" s="107"/>
      <c r="B9" s="113">
        <v>4</v>
      </c>
      <c r="C9" s="114" t="s">
        <v>61</v>
      </c>
      <c r="D9" s="115">
        <v>7.94</v>
      </c>
      <c r="E9" s="113" t="s">
        <v>92</v>
      </c>
      <c r="F9" s="113">
        <v>6.69</v>
      </c>
      <c r="G9" s="113" t="s">
        <v>92</v>
      </c>
      <c r="H9" s="113">
        <v>0.23499999999999999</v>
      </c>
      <c r="I9" s="113" t="s">
        <v>92</v>
      </c>
      <c r="J9" s="257"/>
      <c r="K9" s="257"/>
      <c r="L9" s="259"/>
      <c r="M9" s="257"/>
    </row>
    <row r="10" spans="1:13" x14ac:dyDescent="0.25">
      <c r="A10" s="107"/>
      <c r="B10" s="113">
        <v>5</v>
      </c>
      <c r="C10" s="114" t="s">
        <v>62</v>
      </c>
      <c r="D10" s="115">
        <v>8.36</v>
      </c>
      <c r="E10" s="113" t="s">
        <v>92</v>
      </c>
      <c r="F10" s="113">
        <v>7.11</v>
      </c>
      <c r="G10" s="113" t="s">
        <v>92</v>
      </c>
      <c r="H10" s="113">
        <v>0.23499999999999999</v>
      </c>
      <c r="I10" s="113" t="s">
        <v>92</v>
      </c>
      <c r="J10" s="257"/>
      <c r="K10" s="257"/>
      <c r="L10" s="257"/>
      <c r="M10" s="257"/>
    </row>
    <row r="11" spans="1:13" x14ac:dyDescent="0.25">
      <c r="A11" s="107"/>
      <c r="B11" s="113">
        <v>6</v>
      </c>
      <c r="C11" s="114" t="s">
        <v>63</v>
      </c>
      <c r="D11" s="115">
        <v>8.36</v>
      </c>
      <c r="E11" s="113" t="s">
        <v>92</v>
      </c>
      <c r="F11" s="113">
        <v>7.11</v>
      </c>
      <c r="G11" s="113" t="s">
        <v>92</v>
      </c>
      <c r="H11" s="113">
        <v>0.23499999999999999</v>
      </c>
      <c r="I11" s="113" t="s">
        <v>92</v>
      </c>
      <c r="J11" s="257"/>
      <c r="K11" s="257"/>
      <c r="L11" s="257"/>
      <c r="M11" s="257"/>
    </row>
    <row r="12" spans="1:13" x14ac:dyDescent="0.25">
      <c r="A12" s="107"/>
      <c r="B12" s="113">
        <v>7</v>
      </c>
      <c r="C12" s="114" t="s">
        <v>64</v>
      </c>
      <c r="D12" s="115">
        <v>8.36</v>
      </c>
      <c r="E12" s="113" t="s">
        <v>92</v>
      </c>
      <c r="F12" s="113">
        <v>7.11</v>
      </c>
      <c r="G12" s="113" t="s">
        <v>92</v>
      </c>
      <c r="H12" s="113">
        <v>0.23499999999999999</v>
      </c>
      <c r="I12" s="113" t="s">
        <v>92</v>
      </c>
      <c r="J12" s="257"/>
      <c r="K12" s="257"/>
      <c r="L12" s="257"/>
      <c r="M12" s="257"/>
    </row>
    <row r="13" spans="1:13" x14ac:dyDescent="0.25">
      <c r="A13" s="107"/>
      <c r="B13" s="113">
        <v>8</v>
      </c>
      <c r="C13" s="114" t="s">
        <v>65</v>
      </c>
      <c r="D13" s="115">
        <v>8.89</v>
      </c>
      <c r="E13" s="113" t="s">
        <v>92</v>
      </c>
      <c r="F13" s="113">
        <v>7.94</v>
      </c>
      <c r="G13" s="113" t="s">
        <v>92</v>
      </c>
      <c r="H13" s="113">
        <v>0.23499999999999999</v>
      </c>
      <c r="I13" s="113" t="s">
        <v>92</v>
      </c>
      <c r="J13" s="257"/>
      <c r="K13" s="257"/>
      <c r="L13" s="257"/>
      <c r="M13" s="257"/>
    </row>
    <row r="14" spans="1:13" x14ac:dyDescent="0.25">
      <c r="A14" s="107"/>
      <c r="B14" s="113">
        <v>9</v>
      </c>
      <c r="C14" s="114" t="s">
        <v>67</v>
      </c>
      <c r="D14" s="115">
        <v>10.3</v>
      </c>
      <c r="E14" s="113" t="s">
        <v>92</v>
      </c>
      <c r="F14" s="113">
        <v>8.51</v>
      </c>
      <c r="G14" s="113" t="s">
        <v>92</v>
      </c>
      <c r="H14" s="113">
        <v>0.23499999999999999</v>
      </c>
      <c r="I14" s="113" t="s">
        <v>92</v>
      </c>
      <c r="J14" s="257"/>
      <c r="K14" s="257"/>
      <c r="L14" s="257"/>
      <c r="M14" s="257"/>
    </row>
    <row r="15" spans="1:13" x14ac:dyDescent="0.25">
      <c r="A15" s="107"/>
      <c r="B15" s="113">
        <v>10</v>
      </c>
      <c r="C15" s="114" t="s">
        <v>68</v>
      </c>
      <c r="D15" s="115">
        <v>10.3</v>
      </c>
      <c r="E15" s="113" t="s">
        <v>92</v>
      </c>
      <c r="F15" s="113">
        <v>9.0299999999999994</v>
      </c>
      <c r="G15" s="113" t="s">
        <v>92</v>
      </c>
      <c r="H15" s="113">
        <v>0.23499999999999999</v>
      </c>
      <c r="I15" s="113" t="s">
        <v>92</v>
      </c>
      <c r="J15" s="257"/>
      <c r="K15" s="257"/>
      <c r="L15" s="257"/>
      <c r="M15" s="257"/>
    </row>
    <row r="16" spans="1:13" x14ac:dyDescent="0.25">
      <c r="A16" s="107"/>
      <c r="B16" s="113">
        <v>11</v>
      </c>
      <c r="C16" s="114" t="s">
        <v>69</v>
      </c>
      <c r="D16" s="115">
        <v>10.3</v>
      </c>
      <c r="E16" s="113" t="s">
        <v>92</v>
      </c>
      <c r="F16" s="113">
        <v>9.0299999999999994</v>
      </c>
      <c r="G16" s="113" t="s">
        <v>92</v>
      </c>
      <c r="H16" s="113">
        <v>0.23499999999999999</v>
      </c>
      <c r="I16" s="113" t="s">
        <v>92</v>
      </c>
      <c r="J16" s="257"/>
      <c r="K16" s="257"/>
      <c r="L16" s="257"/>
      <c r="M16" s="257"/>
    </row>
    <row r="17" spans="1:13" x14ac:dyDescent="0.25">
      <c r="A17" s="107"/>
      <c r="B17" s="113">
        <v>12</v>
      </c>
      <c r="C17" s="114" t="s">
        <v>252</v>
      </c>
      <c r="D17" s="115">
        <v>10.56</v>
      </c>
      <c r="E17" s="113" t="s">
        <v>92</v>
      </c>
      <c r="F17" s="113"/>
      <c r="G17" s="113" t="s">
        <v>92</v>
      </c>
      <c r="H17" s="113">
        <v>0.23499999999999999</v>
      </c>
      <c r="I17" s="113" t="s">
        <v>92</v>
      </c>
      <c r="J17" s="257"/>
      <c r="K17" s="257"/>
      <c r="L17" s="257"/>
      <c r="M17" s="257"/>
    </row>
    <row r="18" spans="1:13" s="14" customFormat="1" x14ac:dyDescent="0.25">
      <c r="A18" s="107"/>
      <c r="B18" s="113">
        <v>13</v>
      </c>
      <c r="C18" s="114"/>
      <c r="D18" s="115"/>
      <c r="E18" s="113" t="s">
        <v>92</v>
      </c>
      <c r="F18" s="113"/>
      <c r="G18" s="113" t="s">
        <v>92</v>
      </c>
      <c r="H18" s="113"/>
      <c r="I18" s="113" t="s">
        <v>92</v>
      </c>
      <c r="J18" s="257"/>
      <c r="K18" s="257"/>
      <c r="L18" s="257"/>
      <c r="M18" s="257"/>
    </row>
    <row r="19" spans="1:13" s="14" customFormat="1" x14ac:dyDescent="0.25">
      <c r="A19" s="107"/>
      <c r="B19" s="113"/>
      <c r="C19" s="116">
        <v>0</v>
      </c>
      <c r="D19" s="115">
        <v>0</v>
      </c>
      <c r="E19" s="113"/>
      <c r="F19" s="113">
        <v>0</v>
      </c>
      <c r="G19" s="113"/>
      <c r="H19" s="113">
        <v>0</v>
      </c>
      <c r="I19" s="113"/>
      <c r="J19" s="257"/>
      <c r="K19" s="257"/>
      <c r="L19" s="257"/>
      <c r="M19" s="257"/>
    </row>
    <row r="20" spans="1:13" x14ac:dyDescent="0.25">
      <c r="A20" s="107"/>
      <c r="B20" s="117">
        <v>43</v>
      </c>
      <c r="C20" s="118" t="s">
        <v>93</v>
      </c>
      <c r="D20" s="119">
        <v>8.5000000000000006E-3</v>
      </c>
      <c r="E20" s="117" t="s">
        <v>92</v>
      </c>
      <c r="F20" s="120">
        <f>D20*$F$2</f>
        <v>0.26350000000000001</v>
      </c>
      <c r="G20" s="121" t="s">
        <v>121</v>
      </c>
      <c r="H20" s="107"/>
      <c r="I20" s="107"/>
      <c r="J20" s="257"/>
      <c r="K20" s="257"/>
      <c r="L20" s="257"/>
      <c r="M20" s="257"/>
    </row>
    <row r="21" spans="1:13" x14ac:dyDescent="0.25">
      <c r="A21" s="107"/>
      <c r="B21" s="113">
        <v>44</v>
      </c>
      <c r="C21" s="122" t="s">
        <v>94</v>
      </c>
      <c r="D21" s="115">
        <f t="shared" ref="D21:D31" si="0">F21/$F$2</f>
        <v>27.419354838709676</v>
      </c>
      <c r="E21" s="113" t="s">
        <v>92</v>
      </c>
      <c r="F21" s="123">
        <v>850</v>
      </c>
      <c r="G21" s="121" t="s">
        <v>122</v>
      </c>
      <c r="H21" s="107"/>
      <c r="I21" s="107"/>
      <c r="J21" s="257"/>
      <c r="K21" s="257"/>
      <c r="L21" s="257"/>
      <c r="M21" s="257"/>
    </row>
    <row r="22" spans="1:13" x14ac:dyDescent="0.25">
      <c r="A22" s="107"/>
      <c r="B22" s="113">
        <v>45</v>
      </c>
      <c r="C22" s="122" t="s">
        <v>21</v>
      </c>
      <c r="D22" s="115">
        <f t="shared" si="0"/>
        <v>0.25806451612903225</v>
      </c>
      <c r="E22" s="113" t="s">
        <v>92</v>
      </c>
      <c r="F22" s="123">
        <v>8</v>
      </c>
      <c r="G22" s="121" t="s">
        <v>102</v>
      </c>
      <c r="H22" s="107"/>
      <c r="I22" s="107"/>
      <c r="J22" s="257"/>
      <c r="K22" s="257"/>
      <c r="L22" s="257"/>
      <c r="M22" s="257"/>
    </row>
    <row r="23" spans="1:13" x14ac:dyDescent="0.25">
      <c r="A23" s="107"/>
      <c r="B23" s="113">
        <v>46</v>
      </c>
      <c r="C23" s="122" t="s">
        <v>23</v>
      </c>
      <c r="D23" s="115">
        <f t="shared" si="0"/>
        <v>0.70967741935483875</v>
      </c>
      <c r="E23" s="113" t="s">
        <v>92</v>
      </c>
      <c r="F23" s="123">
        <v>22</v>
      </c>
      <c r="G23" s="121" t="s">
        <v>102</v>
      </c>
      <c r="H23" s="107"/>
      <c r="I23" s="107"/>
      <c r="J23" s="257"/>
      <c r="K23" s="257"/>
      <c r="L23" s="257"/>
      <c r="M23" s="257"/>
    </row>
    <row r="24" spans="1:13" x14ac:dyDescent="0.25">
      <c r="A24" s="107"/>
      <c r="B24" s="113">
        <v>47</v>
      </c>
      <c r="C24" s="122" t="s">
        <v>4</v>
      </c>
      <c r="D24" s="115">
        <f t="shared" si="0"/>
        <v>0.45161290322580644</v>
      </c>
      <c r="E24" s="113" t="s">
        <v>92</v>
      </c>
      <c r="F24" s="123">
        <v>14</v>
      </c>
      <c r="G24" s="121" t="s">
        <v>102</v>
      </c>
      <c r="H24" s="107"/>
      <c r="I24" s="107"/>
      <c r="J24" s="257"/>
      <c r="K24" s="257"/>
      <c r="L24" s="257"/>
      <c r="M24" s="257"/>
    </row>
    <row r="25" spans="1:13" x14ac:dyDescent="0.25">
      <c r="A25" s="107"/>
      <c r="B25" s="113">
        <v>48</v>
      </c>
      <c r="C25" s="122" t="s">
        <v>24</v>
      </c>
      <c r="D25" s="115">
        <f t="shared" si="0"/>
        <v>6.4516129032258063E-2</v>
      </c>
      <c r="E25" s="113" t="s">
        <v>92</v>
      </c>
      <c r="F25" s="123">
        <v>2</v>
      </c>
      <c r="G25" s="121" t="s">
        <v>121</v>
      </c>
      <c r="H25" s="107"/>
      <c r="I25" s="107"/>
      <c r="J25" s="257"/>
      <c r="K25" s="257"/>
      <c r="L25" s="257"/>
      <c r="M25" s="257"/>
    </row>
    <row r="26" spans="1:13" x14ac:dyDescent="0.25">
      <c r="A26" s="107"/>
      <c r="B26" s="113">
        <v>49</v>
      </c>
      <c r="C26" s="122" t="s">
        <v>110</v>
      </c>
      <c r="D26" s="115">
        <f t="shared" si="0"/>
        <v>1.7741935483870968</v>
      </c>
      <c r="E26" s="113" t="s">
        <v>92</v>
      </c>
      <c r="F26" s="123">
        <v>55</v>
      </c>
      <c r="G26" s="121" t="s">
        <v>121</v>
      </c>
      <c r="H26" s="107"/>
      <c r="I26" s="107"/>
      <c r="J26" s="257"/>
      <c r="K26" s="257"/>
      <c r="L26" s="257"/>
      <c r="M26" s="257"/>
    </row>
    <row r="27" spans="1:13" x14ac:dyDescent="0.25">
      <c r="A27" s="107"/>
      <c r="B27" s="113">
        <v>50</v>
      </c>
      <c r="C27" s="122" t="s">
        <v>111</v>
      </c>
      <c r="D27" s="115">
        <f t="shared" si="0"/>
        <v>3.225806451612903</v>
      </c>
      <c r="E27" s="113" t="s">
        <v>92</v>
      </c>
      <c r="F27" s="113">
        <v>100</v>
      </c>
      <c r="G27" s="121" t="s">
        <v>121</v>
      </c>
      <c r="H27" s="107"/>
      <c r="I27" s="107"/>
      <c r="J27" s="257"/>
      <c r="K27" s="257"/>
      <c r="L27" s="257"/>
      <c r="M27" s="257"/>
    </row>
    <row r="28" spans="1:13" x14ac:dyDescent="0.25">
      <c r="A28" s="107"/>
      <c r="B28" s="113">
        <v>51</v>
      </c>
      <c r="C28" s="122" t="s">
        <v>112</v>
      </c>
      <c r="D28" s="115">
        <f t="shared" si="0"/>
        <v>4.838709677419355</v>
      </c>
      <c r="E28" s="113" t="s">
        <v>92</v>
      </c>
      <c r="F28" s="123">
        <v>150</v>
      </c>
      <c r="G28" s="121" t="s">
        <v>121</v>
      </c>
      <c r="H28" s="107"/>
      <c r="I28" s="107"/>
      <c r="J28" s="257"/>
      <c r="K28" s="257"/>
      <c r="L28" s="257"/>
      <c r="M28" s="257"/>
    </row>
    <row r="29" spans="1:13" x14ac:dyDescent="0.25">
      <c r="A29" s="107"/>
      <c r="B29" s="113">
        <v>52</v>
      </c>
      <c r="C29" s="122" t="s">
        <v>113</v>
      </c>
      <c r="D29" s="115">
        <f t="shared" si="0"/>
        <v>7.096774193548387</v>
      </c>
      <c r="E29" s="113" t="s">
        <v>92</v>
      </c>
      <c r="F29" s="123">
        <v>220</v>
      </c>
      <c r="G29" s="121" t="s">
        <v>121</v>
      </c>
      <c r="H29" s="107"/>
      <c r="I29" s="107"/>
      <c r="J29" s="257"/>
      <c r="K29" s="257"/>
      <c r="L29" s="257"/>
      <c r="M29" s="257"/>
    </row>
    <row r="30" spans="1:13" x14ac:dyDescent="0.25">
      <c r="A30" s="107"/>
      <c r="B30" s="113">
        <v>53</v>
      </c>
      <c r="C30" s="122" t="s">
        <v>124</v>
      </c>
      <c r="D30" s="115">
        <f t="shared" si="0"/>
        <v>1.2903225806451613E-2</v>
      </c>
      <c r="E30" s="113" t="s">
        <v>92</v>
      </c>
      <c r="F30" s="123">
        <v>0.4</v>
      </c>
      <c r="G30" s="121" t="s">
        <v>121</v>
      </c>
      <c r="H30" s="107"/>
      <c r="I30" s="107"/>
      <c r="J30" s="257"/>
      <c r="K30" s="257"/>
      <c r="L30" s="257"/>
      <c r="M30" s="257"/>
    </row>
    <row r="31" spans="1:13" x14ac:dyDescent="0.25">
      <c r="A31" s="107"/>
      <c r="B31" s="113">
        <v>54</v>
      </c>
      <c r="C31" s="122" t="s">
        <v>125</v>
      </c>
      <c r="D31" s="115">
        <f t="shared" si="0"/>
        <v>1.806451612903226E-2</v>
      </c>
      <c r="E31" s="113" t="s">
        <v>92</v>
      </c>
      <c r="F31" s="124">
        <v>0.56000000000000005</v>
      </c>
      <c r="G31" s="121" t="s">
        <v>102</v>
      </c>
      <c r="H31" s="107" t="s">
        <v>123</v>
      </c>
      <c r="I31" s="107">
        <f>0.6*345</f>
        <v>207</v>
      </c>
      <c r="J31" s="257"/>
      <c r="K31" s="257"/>
      <c r="L31" s="257"/>
      <c r="M31" s="257"/>
    </row>
    <row r="32" spans="1:13" x14ac:dyDescent="0.25">
      <c r="A32" s="107"/>
      <c r="B32" s="113">
        <v>55</v>
      </c>
      <c r="C32" s="122"/>
      <c r="D32" s="115"/>
      <c r="E32" s="113" t="s">
        <v>92</v>
      </c>
      <c r="F32" s="107"/>
      <c r="G32" s="107"/>
      <c r="H32" s="107"/>
      <c r="I32" s="107"/>
      <c r="J32" s="257"/>
      <c r="K32" s="257"/>
      <c r="L32" s="257"/>
      <c r="M32" s="257"/>
    </row>
    <row r="33" spans="1:13" x14ac:dyDescent="0.25">
      <c r="A33" s="107"/>
      <c r="B33" s="113">
        <v>56</v>
      </c>
      <c r="C33" s="122"/>
      <c r="D33" s="115"/>
      <c r="E33" s="113" t="s">
        <v>92</v>
      </c>
      <c r="F33" s="107"/>
      <c r="G33" s="107"/>
      <c r="H33" s="107"/>
      <c r="I33" s="107"/>
      <c r="J33" s="257"/>
      <c r="K33" s="257"/>
      <c r="L33" s="257"/>
      <c r="M33" s="257"/>
    </row>
    <row r="34" spans="1:13" x14ac:dyDescent="0.25">
      <c r="A34" s="107"/>
      <c r="B34" s="113">
        <v>57</v>
      </c>
      <c r="C34" s="122"/>
      <c r="D34" s="115"/>
      <c r="E34" s="113" t="s">
        <v>92</v>
      </c>
      <c r="F34" s="107"/>
      <c r="G34" s="107"/>
      <c r="H34" s="107"/>
      <c r="I34" s="107"/>
      <c r="J34" s="257"/>
      <c r="K34" s="257"/>
      <c r="L34" s="257"/>
      <c r="M34" s="257"/>
    </row>
    <row r="35" spans="1:13" x14ac:dyDescent="0.25">
      <c r="A35" s="107"/>
      <c r="B35" s="113">
        <v>58</v>
      </c>
      <c r="C35" s="122"/>
      <c r="D35" s="115"/>
      <c r="E35" s="113" t="s">
        <v>92</v>
      </c>
      <c r="F35" s="107"/>
      <c r="G35" s="107"/>
      <c r="H35" s="107"/>
      <c r="I35" s="107"/>
      <c r="J35" s="257"/>
      <c r="K35" s="257"/>
      <c r="L35" s="257"/>
      <c r="M35" s="257"/>
    </row>
    <row r="36" spans="1:13" x14ac:dyDescent="0.25">
      <c r="A36" s="107"/>
      <c r="B36" s="113">
        <v>59</v>
      </c>
      <c r="C36" s="122"/>
      <c r="D36" s="115"/>
      <c r="E36" s="113" t="s">
        <v>92</v>
      </c>
      <c r="F36" s="107"/>
      <c r="G36" s="107"/>
      <c r="H36" s="107"/>
      <c r="I36" s="107"/>
      <c r="J36" s="257"/>
      <c r="K36" s="257"/>
      <c r="L36" s="257"/>
      <c r="M36" s="257"/>
    </row>
    <row r="37" spans="1:13" x14ac:dyDescent="0.25">
      <c r="A37" s="107"/>
      <c r="B37" s="113">
        <v>60</v>
      </c>
      <c r="C37" s="122"/>
      <c r="D37" s="115"/>
      <c r="E37" s="113" t="s">
        <v>92</v>
      </c>
      <c r="F37" s="107"/>
      <c r="G37" s="107"/>
      <c r="H37" s="107"/>
      <c r="I37" s="107"/>
      <c r="J37" s="257"/>
      <c r="K37" s="257"/>
      <c r="L37" s="257"/>
      <c r="M37" s="257"/>
    </row>
    <row r="38" spans="1:13" x14ac:dyDescent="0.25">
      <c r="A38" s="107"/>
      <c r="B38" s="113">
        <v>61</v>
      </c>
      <c r="C38" s="122"/>
      <c r="D38" s="115"/>
      <c r="E38" s="113" t="s">
        <v>92</v>
      </c>
      <c r="F38" s="107"/>
      <c r="G38" s="107"/>
      <c r="H38" s="107"/>
      <c r="I38" s="107"/>
      <c r="J38" s="257"/>
      <c r="K38" s="257"/>
      <c r="L38" s="257"/>
      <c r="M38" s="257"/>
    </row>
    <row r="39" spans="1:13" x14ac:dyDescent="0.25">
      <c r="A39" s="107"/>
      <c r="B39" s="107"/>
      <c r="C39" s="107"/>
      <c r="D39" s="108"/>
      <c r="E39" s="107"/>
      <c r="F39" s="107"/>
      <c r="G39" s="107"/>
      <c r="H39" s="107"/>
      <c r="I39" s="107"/>
      <c r="J39" s="257"/>
      <c r="K39" s="257"/>
      <c r="L39" s="257"/>
      <c r="M39" s="257"/>
    </row>
    <row r="40" spans="1:13" x14ac:dyDescent="0.25">
      <c r="A40" s="107"/>
      <c r="B40" s="107"/>
      <c r="C40" s="107"/>
      <c r="D40" s="108"/>
      <c r="E40" s="107"/>
      <c r="F40" s="107"/>
      <c r="G40" s="107"/>
      <c r="H40" s="107"/>
      <c r="I40" s="107"/>
      <c r="J40" s="257"/>
      <c r="K40" s="257"/>
      <c r="L40" s="257"/>
      <c r="M40" s="257"/>
    </row>
    <row r="41" spans="1:13" x14ac:dyDescent="0.25">
      <c r="A41" s="107"/>
      <c r="B41" s="107"/>
      <c r="C41" s="107"/>
      <c r="D41" s="108"/>
      <c r="E41" s="107"/>
      <c r="F41" s="107"/>
      <c r="G41" s="107"/>
      <c r="H41" s="107"/>
      <c r="I41" s="107"/>
      <c r="J41" s="257"/>
      <c r="K41" s="257"/>
      <c r="L41" s="257"/>
      <c r="M41" s="257"/>
    </row>
    <row r="42" spans="1:13" x14ac:dyDescent="0.25">
      <c r="A42" s="107"/>
      <c r="B42" s="107"/>
      <c r="C42" s="107"/>
      <c r="D42" s="108"/>
      <c r="E42" s="107"/>
      <c r="F42" s="107"/>
      <c r="G42" s="107"/>
      <c r="H42" s="107"/>
      <c r="I42" s="107"/>
      <c r="J42" s="257"/>
      <c r="K42" s="257"/>
      <c r="L42" s="257"/>
      <c r="M42" s="257"/>
    </row>
    <row r="43" spans="1:13" x14ac:dyDescent="0.25">
      <c r="A43" s="107"/>
      <c r="B43" s="107"/>
      <c r="C43" s="107"/>
      <c r="D43" s="108"/>
      <c r="E43" s="107"/>
      <c r="F43" s="107"/>
      <c r="G43" s="107"/>
      <c r="H43" s="107"/>
      <c r="I43" s="107"/>
      <c r="J43" s="257"/>
      <c r="K43" s="257"/>
      <c r="L43" s="257"/>
      <c r="M43" s="257"/>
    </row>
  </sheetData>
  <sheetProtection password="C668" sheet="1" objects="1" scenarios="1" selectLockedCells="1" selectUnlockedCells="1"/>
  <pageMargins left="0.7" right="0.7" top="0.75"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Форма плитн мат МТУ</vt:lpstr>
      <vt:lpstr>Фасады Клеаф</vt:lpstr>
      <vt:lpstr>Бланк</vt:lpstr>
      <vt:lpstr>kopir</vt:lpstr>
      <vt:lpstr>Спецификация</vt:lpstr>
      <vt:lpstr>Исх дан мат и усл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2019-04-11T14:54:10Z</dcterms:modified>
</cp:coreProperties>
</file>